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35/"/>
    </mc:Choice>
  </mc:AlternateContent>
  <xr:revisionPtr revIDLastSave="407" documentId="8_{D40C8343-0458-4758-8C23-990A8CC5AF7E}" xr6:coauthVersionLast="47" xr6:coauthVersionMax="47" xr10:uidLastSave="{06FF606D-8FBD-4799-A53D-7D48BAD6DDE1}"/>
  <bookViews>
    <workbookView minimized="1" xWindow="-20310" yWindow="4545" windowWidth="17280" windowHeight="8880" firstSheet="1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5" r:id="rId10"/>
  </sheets>
  <externalReferences>
    <externalReference r:id="rId11"/>
  </externalReferenc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27" i="25" l="1"/>
  <c r="F881" i="25"/>
  <c r="F835" i="25"/>
  <c r="F789" i="25"/>
  <c r="F740" i="25"/>
  <c r="F694" i="25"/>
  <c r="F648" i="25"/>
  <c r="F602" i="25"/>
  <c r="F553" i="25"/>
  <c r="F507" i="25"/>
  <c r="F461" i="25"/>
  <c r="F415" i="25"/>
  <c r="F367" i="25"/>
  <c r="F321" i="25"/>
  <c r="F275" i="25"/>
  <c r="F229" i="25"/>
  <c r="F181" i="25"/>
  <c r="F135" i="25"/>
  <c r="F89" i="25"/>
  <c r="F43" i="25"/>
  <c r="F40" i="12"/>
  <c r="I39" i="12"/>
  <c r="I40" i="12" s="1"/>
  <c r="G39" i="12"/>
  <c r="I91" i="12"/>
  <c r="F91" i="12"/>
  <c r="I90" i="12"/>
  <c r="G90" i="12"/>
  <c r="F142" i="12"/>
  <c r="I141" i="12"/>
  <c r="I142" i="12" s="1"/>
  <c r="G141" i="12"/>
  <c r="G142" i="12" s="1"/>
  <c r="I193" i="12"/>
  <c r="F193" i="12"/>
  <c r="G193" i="12" s="1"/>
  <c r="H193" i="12" s="1"/>
  <c r="I192" i="12"/>
  <c r="G192" i="12"/>
  <c r="H192" i="12" s="1"/>
  <c r="I40" i="9"/>
  <c r="F40" i="9"/>
  <c r="I39" i="9"/>
  <c r="G39" i="9"/>
  <c r="G40" i="9" s="1"/>
  <c r="H40" i="9" s="1"/>
  <c r="F91" i="9"/>
  <c r="I90" i="9"/>
  <c r="I91" i="9" s="1"/>
  <c r="G90" i="9"/>
  <c r="H90" i="9" s="1"/>
  <c r="F142" i="9"/>
  <c r="I141" i="9"/>
  <c r="I142" i="9" s="1"/>
  <c r="G141" i="9"/>
  <c r="G142" i="9" s="1"/>
  <c r="H142" i="9" s="1"/>
  <c r="F193" i="9"/>
  <c r="I192" i="9"/>
  <c r="I193" i="9" s="1"/>
  <c r="G192" i="9"/>
  <c r="G193" i="9" s="1"/>
  <c r="H193" i="9" s="1"/>
  <c r="F40" i="7"/>
  <c r="I39" i="7"/>
  <c r="I40" i="7" s="1"/>
  <c r="G39" i="7"/>
  <c r="G40" i="7" s="1"/>
  <c r="F91" i="7"/>
  <c r="I90" i="7"/>
  <c r="I91" i="7" s="1"/>
  <c r="G90" i="7"/>
  <c r="F142" i="7"/>
  <c r="I141" i="7"/>
  <c r="I142" i="7" s="1"/>
  <c r="G141" i="7"/>
  <c r="H141" i="7" s="1"/>
  <c r="I193" i="7"/>
  <c r="F193" i="7"/>
  <c r="I192" i="7"/>
  <c r="G192" i="7"/>
  <c r="H192" i="7" s="1"/>
  <c r="F40" i="10"/>
  <c r="I39" i="10"/>
  <c r="I40" i="10" s="1"/>
  <c r="G39" i="10"/>
  <c r="H39" i="10" s="1"/>
  <c r="I91" i="10"/>
  <c r="F91" i="10"/>
  <c r="I90" i="10"/>
  <c r="G90" i="10"/>
  <c r="G91" i="10" s="1"/>
  <c r="H91" i="10" s="1"/>
  <c r="I193" i="10"/>
  <c r="F193" i="10"/>
  <c r="G193" i="10" s="1"/>
  <c r="H193" i="10" s="1"/>
  <c r="I192" i="10"/>
  <c r="G192" i="10"/>
  <c r="H192" i="10" s="1"/>
  <c r="I142" i="10"/>
  <c r="G142" i="10"/>
  <c r="H142" i="10" s="1"/>
  <c r="F142" i="10"/>
  <c r="I141" i="10"/>
  <c r="G141" i="10"/>
  <c r="H141" i="10" s="1"/>
  <c r="I193" i="5"/>
  <c r="F193" i="5"/>
  <c r="G193" i="5" s="1"/>
  <c r="H193" i="5" s="1"/>
  <c r="I192" i="5"/>
  <c r="G192" i="5"/>
  <c r="H192" i="5" s="1"/>
  <c r="I142" i="5"/>
  <c r="H142" i="5"/>
  <c r="G142" i="5"/>
  <c r="F142" i="5"/>
  <c r="I141" i="5"/>
  <c r="G141" i="5"/>
  <c r="H141" i="5" s="1"/>
  <c r="I91" i="5"/>
  <c r="F91" i="5"/>
  <c r="I90" i="5"/>
  <c r="G90" i="5"/>
  <c r="F40" i="5"/>
  <c r="I39" i="5"/>
  <c r="I40" i="5" s="1"/>
  <c r="G39" i="5"/>
  <c r="I193" i="11"/>
  <c r="F193" i="11"/>
  <c r="G193" i="11" s="1"/>
  <c r="H193" i="11" s="1"/>
  <c r="I192" i="11"/>
  <c r="G192" i="11"/>
  <c r="H192" i="11" s="1"/>
  <c r="F142" i="11"/>
  <c r="I141" i="11"/>
  <c r="I142" i="11" s="1"/>
  <c r="G141" i="11"/>
  <c r="I91" i="11"/>
  <c r="F91" i="11"/>
  <c r="G91" i="11" s="1"/>
  <c r="I90" i="11"/>
  <c r="G90" i="11"/>
  <c r="H90" i="11" s="1"/>
  <c r="I40" i="11"/>
  <c r="F40" i="11"/>
  <c r="I39" i="11"/>
  <c r="G39" i="11"/>
  <c r="G40" i="11" s="1"/>
  <c r="H40" i="11" s="1"/>
  <c r="F193" i="4"/>
  <c r="G192" i="4"/>
  <c r="G193" i="4" s="1"/>
  <c r="F142" i="4"/>
  <c r="G142" i="4" s="1"/>
  <c r="I141" i="4"/>
  <c r="I142" i="4" s="1"/>
  <c r="G141" i="4"/>
  <c r="H141" i="4" s="1"/>
  <c r="F91" i="4"/>
  <c r="I90" i="4"/>
  <c r="I91" i="4" s="1"/>
  <c r="I40" i="4"/>
  <c r="F40" i="4"/>
  <c r="I39" i="4"/>
  <c r="L193" i="1"/>
  <c r="I193" i="1"/>
  <c r="F193" i="1"/>
  <c r="L192" i="1"/>
  <c r="I192" i="1"/>
  <c r="G192" i="1"/>
  <c r="F142" i="1"/>
  <c r="L141" i="1"/>
  <c r="L142" i="1" s="1"/>
  <c r="I141" i="1"/>
  <c r="I142" i="1" s="1"/>
  <c r="F91" i="1"/>
  <c r="L90" i="1"/>
  <c r="L91" i="1" s="1"/>
  <c r="I90" i="1"/>
  <c r="I91" i="1" s="1"/>
  <c r="F40" i="1"/>
  <c r="L40" i="1"/>
  <c r="I40" i="1"/>
  <c r="G91" i="12" l="1"/>
  <c r="H91" i="12" s="1"/>
  <c r="G40" i="12"/>
  <c r="H40" i="12" s="1"/>
  <c r="H39" i="12"/>
  <c r="H90" i="12"/>
  <c r="H142" i="12"/>
  <c r="H141" i="12"/>
  <c r="H39" i="9"/>
  <c r="G91" i="9"/>
  <c r="H91" i="9" s="1"/>
  <c r="H141" i="9"/>
  <c r="H192" i="9"/>
  <c r="G91" i="7"/>
  <c r="H91" i="7" s="1"/>
  <c r="H40" i="7"/>
  <c r="H39" i="7"/>
  <c r="H90" i="7"/>
  <c r="G142" i="7"/>
  <c r="H142" i="7" s="1"/>
  <c r="G193" i="7"/>
  <c r="H193" i="7" s="1"/>
  <c r="G40" i="10"/>
  <c r="H40" i="10" s="1"/>
  <c r="H90" i="10"/>
  <c r="G91" i="5"/>
  <c r="H91" i="5" s="1"/>
  <c r="G40" i="5"/>
  <c r="H90" i="5"/>
  <c r="H40" i="5"/>
  <c r="H39" i="5"/>
  <c r="H91" i="11"/>
  <c r="G142" i="11"/>
  <c r="H142" i="11" s="1"/>
  <c r="H141" i="11"/>
  <c r="H39" i="11"/>
  <c r="H142" i="4"/>
  <c r="G193" i="1"/>
  <c r="K193" i="1"/>
  <c r="H193" i="1"/>
  <c r="H192" i="1"/>
  <c r="K192" i="1"/>
  <c r="I39" i="1"/>
  <c r="L39" i="1"/>
  <c r="E87" i="25"/>
  <c r="E41" i="25"/>
  <c r="E89" i="4"/>
  <c r="E38" i="4"/>
  <c r="F89" i="12"/>
  <c r="F89" i="7"/>
  <c r="E89" i="7"/>
  <c r="D89" i="7"/>
  <c r="E38" i="7"/>
  <c r="D38" i="7"/>
  <c r="F89" i="5"/>
  <c r="F89" i="11"/>
  <c r="E89" i="1"/>
  <c r="D89" i="1" s="1"/>
  <c r="D38" i="1"/>
  <c r="E38" i="1"/>
  <c r="F925" i="25" l="1"/>
  <c r="F879" i="25"/>
  <c r="F833" i="25"/>
  <c r="F787" i="25"/>
  <c r="F738" i="25"/>
  <c r="F692" i="25"/>
  <c r="F646" i="25"/>
  <c r="F600" i="25"/>
  <c r="F551" i="25"/>
  <c r="F505" i="25"/>
  <c r="F459" i="25"/>
  <c r="F413" i="25"/>
  <c r="F365" i="25"/>
  <c r="F319" i="25"/>
  <c r="F273" i="25"/>
  <c r="F227" i="25"/>
  <c r="F179" i="25"/>
  <c r="F133" i="25"/>
  <c r="F87" i="25"/>
  <c r="F41" i="25"/>
  <c r="I191" i="12"/>
  <c r="F191" i="12"/>
  <c r="G191" i="12" s="1"/>
  <c r="H191" i="12" s="1"/>
  <c r="I140" i="12"/>
  <c r="F140" i="12"/>
  <c r="G140" i="12" s="1"/>
  <c r="H140" i="12" s="1"/>
  <c r="I89" i="12"/>
  <c r="G89" i="12"/>
  <c r="H89" i="12" s="1"/>
  <c r="I38" i="12"/>
  <c r="F38" i="12"/>
  <c r="G38" i="12" s="1"/>
  <c r="H38" i="12" s="1"/>
  <c r="I191" i="9"/>
  <c r="F191" i="9"/>
  <c r="G191" i="9" s="1"/>
  <c r="H191" i="9" s="1"/>
  <c r="I140" i="9"/>
  <c r="F140" i="9"/>
  <c r="G140" i="9" s="1"/>
  <c r="H140" i="9" s="1"/>
  <c r="I89" i="9"/>
  <c r="F89" i="9"/>
  <c r="G89" i="9" s="1"/>
  <c r="H89" i="9" s="1"/>
  <c r="I38" i="9"/>
  <c r="H37" i="9"/>
  <c r="F38" i="9"/>
  <c r="G38" i="9" s="1"/>
  <c r="I191" i="7"/>
  <c r="F191" i="7"/>
  <c r="G191" i="7" s="1"/>
  <c r="H191" i="7" s="1"/>
  <c r="I140" i="7"/>
  <c r="F140" i="7"/>
  <c r="G140" i="7" s="1"/>
  <c r="H140" i="7" s="1"/>
  <c r="I89" i="7"/>
  <c r="G89" i="7"/>
  <c r="H89" i="7" s="1"/>
  <c r="I38" i="7"/>
  <c r="F38" i="7"/>
  <c r="G38" i="7" s="1"/>
  <c r="I191" i="10"/>
  <c r="F191" i="10"/>
  <c r="G191" i="10" s="1"/>
  <c r="H191" i="10" s="1"/>
  <c r="I140" i="10"/>
  <c r="F140" i="10"/>
  <c r="G140" i="10" s="1"/>
  <c r="H140" i="10" s="1"/>
  <c r="I89" i="10"/>
  <c r="F89" i="10"/>
  <c r="G89" i="10" s="1"/>
  <c r="H89" i="10" s="1"/>
  <c r="I38" i="10"/>
  <c r="F38" i="10"/>
  <c r="G38" i="10" s="1"/>
  <c r="H38" i="10" s="1"/>
  <c r="I191" i="5"/>
  <c r="F191" i="5"/>
  <c r="G191" i="5" s="1"/>
  <c r="H191" i="5" s="1"/>
  <c r="I140" i="5"/>
  <c r="F140" i="5"/>
  <c r="G140" i="5" s="1"/>
  <c r="H140" i="5" s="1"/>
  <c r="I89" i="5"/>
  <c r="G89" i="5"/>
  <c r="H89" i="5" s="1"/>
  <c r="I38" i="5"/>
  <c r="F38" i="5"/>
  <c r="G38" i="5" s="1"/>
  <c r="H38" i="5" s="1"/>
  <c r="I191" i="11"/>
  <c r="F191" i="11"/>
  <c r="G191" i="11" s="1"/>
  <c r="H191" i="11" s="1"/>
  <c r="I140" i="11"/>
  <c r="F140" i="11"/>
  <c r="G140" i="11" s="1"/>
  <c r="H140" i="11" s="1"/>
  <c r="I89" i="11"/>
  <c r="G89" i="11"/>
  <c r="H89" i="11" s="1"/>
  <c r="I38" i="11"/>
  <c r="F38" i="11"/>
  <c r="G38" i="11" s="1"/>
  <c r="F191" i="4"/>
  <c r="F140" i="4"/>
  <c r="L89" i="1"/>
  <c r="I89" i="1"/>
  <c r="F140" i="1"/>
  <c r="L140" i="1"/>
  <c r="L191" i="1"/>
  <c r="I191" i="1"/>
  <c r="F191" i="1"/>
  <c r="L38" i="1"/>
  <c r="I38" i="1"/>
  <c r="F37" i="12"/>
  <c r="F139" i="1"/>
  <c r="F36" i="11"/>
  <c r="F138" i="1"/>
  <c r="H38" i="9" l="1"/>
  <c r="H38" i="7"/>
  <c r="H38" i="11"/>
  <c r="F36" i="12"/>
  <c r="F37" i="4"/>
  <c r="F36" i="4"/>
  <c r="F35" i="4"/>
  <c r="F137" i="1"/>
  <c r="F136" i="1"/>
  <c r="F921" i="25"/>
  <c r="F922" i="25"/>
  <c r="F923" i="25"/>
  <c r="F924" i="25"/>
  <c r="F878" i="25"/>
  <c r="F875" i="25"/>
  <c r="F876" i="25"/>
  <c r="F877" i="25"/>
  <c r="F829" i="25"/>
  <c r="F830" i="25"/>
  <c r="F831" i="25"/>
  <c r="F832" i="25"/>
  <c r="F783" i="25"/>
  <c r="F784" i="25"/>
  <c r="F785" i="25"/>
  <c r="F786" i="25"/>
  <c r="F734" i="25"/>
  <c r="F735" i="25"/>
  <c r="F736" i="25"/>
  <c r="F737" i="25"/>
  <c r="F688" i="25"/>
  <c r="F689" i="25"/>
  <c r="F690" i="25"/>
  <c r="F691" i="25"/>
  <c r="F642" i="25"/>
  <c r="F643" i="25"/>
  <c r="F644" i="25"/>
  <c r="F645" i="25"/>
  <c r="F596" i="25"/>
  <c r="F597" i="25"/>
  <c r="F598" i="25"/>
  <c r="F599" i="25"/>
  <c r="F547" i="25"/>
  <c r="F548" i="25"/>
  <c r="F549" i="25"/>
  <c r="F550" i="25"/>
  <c r="F501" i="25"/>
  <c r="F502" i="25"/>
  <c r="F503" i="25"/>
  <c r="F504" i="25"/>
  <c r="F455" i="25"/>
  <c r="F456" i="25"/>
  <c r="F457" i="25"/>
  <c r="F458" i="25"/>
  <c r="F409" i="25"/>
  <c r="F410" i="25"/>
  <c r="F411" i="25"/>
  <c r="F412" i="25"/>
  <c r="F361" i="25"/>
  <c r="F362" i="25"/>
  <c r="F363" i="25"/>
  <c r="F364" i="25"/>
  <c r="F315" i="25"/>
  <c r="F316" i="25"/>
  <c r="F317" i="25"/>
  <c r="F318" i="25"/>
  <c r="F269" i="25"/>
  <c r="F270" i="25"/>
  <c r="F271" i="25"/>
  <c r="F272" i="25"/>
  <c r="F223" i="25"/>
  <c r="F224" i="25"/>
  <c r="F225" i="25"/>
  <c r="F226" i="25"/>
  <c r="F175" i="25"/>
  <c r="F176" i="25"/>
  <c r="F177" i="25"/>
  <c r="F178" i="25"/>
  <c r="F129" i="25"/>
  <c r="F130" i="25"/>
  <c r="F131" i="25"/>
  <c r="F132" i="25"/>
  <c r="F86" i="25"/>
  <c r="F83" i="25"/>
  <c r="F84" i="25"/>
  <c r="F85" i="25"/>
  <c r="F37" i="25"/>
  <c r="F38" i="25"/>
  <c r="F39" i="25"/>
  <c r="F40" i="25"/>
  <c r="F187" i="12"/>
  <c r="F188" i="12"/>
  <c r="F189" i="12"/>
  <c r="F190" i="12"/>
  <c r="F136" i="12"/>
  <c r="F137" i="12"/>
  <c r="F138" i="12"/>
  <c r="F139" i="12"/>
  <c r="F85" i="12"/>
  <c r="F86" i="12"/>
  <c r="F87" i="12"/>
  <c r="F88" i="12"/>
  <c r="F34" i="12"/>
  <c r="F35" i="12"/>
  <c r="F187" i="9"/>
  <c r="F188" i="9"/>
  <c r="F189" i="9"/>
  <c r="F190" i="9"/>
  <c r="F136" i="9"/>
  <c r="F137" i="9"/>
  <c r="F138" i="9"/>
  <c r="F139" i="9"/>
  <c r="F85" i="9"/>
  <c r="F86" i="9"/>
  <c r="F87" i="9"/>
  <c r="F88" i="9"/>
  <c r="F34" i="9"/>
  <c r="F35" i="9"/>
  <c r="F36" i="9"/>
  <c r="F37" i="9"/>
  <c r="F187" i="7"/>
  <c r="F188" i="7"/>
  <c r="F189" i="7"/>
  <c r="F190" i="7"/>
  <c r="F182" i="7"/>
  <c r="F136" i="7"/>
  <c r="F137" i="7"/>
  <c r="F138" i="7"/>
  <c r="F139" i="7"/>
  <c r="F85" i="7"/>
  <c r="F86" i="7"/>
  <c r="F87" i="7"/>
  <c r="F88" i="7"/>
  <c r="F34" i="7"/>
  <c r="F35" i="7"/>
  <c r="F36" i="7"/>
  <c r="F37" i="7"/>
  <c r="F187" i="10"/>
  <c r="F188" i="10"/>
  <c r="F189" i="10"/>
  <c r="F190" i="10"/>
  <c r="F136" i="10"/>
  <c r="F137" i="10"/>
  <c r="F138" i="10"/>
  <c r="F139" i="10"/>
  <c r="F85" i="10"/>
  <c r="F86" i="10"/>
  <c r="F87" i="10"/>
  <c r="F88" i="10"/>
  <c r="F34" i="10"/>
  <c r="F35" i="10"/>
  <c r="F36" i="10"/>
  <c r="F37" i="10"/>
  <c r="F187" i="5"/>
  <c r="F188" i="5"/>
  <c r="F189" i="5"/>
  <c r="F190" i="5"/>
  <c r="F136" i="5"/>
  <c r="F137" i="5"/>
  <c r="F138" i="5"/>
  <c r="F139" i="5"/>
  <c r="F85" i="5"/>
  <c r="F86" i="5"/>
  <c r="F87" i="5"/>
  <c r="F88" i="5"/>
  <c r="F34" i="5"/>
  <c r="F35" i="5"/>
  <c r="F36" i="5"/>
  <c r="F37" i="5"/>
  <c r="F187" i="11"/>
  <c r="F188" i="11"/>
  <c r="F189" i="11"/>
  <c r="F190" i="11"/>
  <c r="F136" i="11"/>
  <c r="F137" i="11"/>
  <c r="F138" i="11"/>
  <c r="F139" i="11"/>
  <c r="F85" i="11"/>
  <c r="F86" i="11"/>
  <c r="F87" i="11"/>
  <c r="F88" i="11"/>
  <c r="F34" i="11"/>
  <c r="F35" i="11"/>
  <c r="F37" i="11"/>
  <c r="F187" i="4"/>
  <c r="F188" i="4"/>
  <c r="F189" i="4"/>
  <c r="F190" i="4"/>
  <c r="F136" i="4"/>
  <c r="F137" i="4"/>
  <c r="F138" i="4"/>
  <c r="F139" i="4"/>
  <c r="F85" i="4"/>
  <c r="F86" i="4"/>
  <c r="F87" i="4"/>
  <c r="F88" i="4"/>
  <c r="F34" i="4"/>
  <c r="F187" i="1"/>
  <c r="F188" i="1"/>
  <c r="F189" i="1"/>
  <c r="F190" i="1"/>
  <c r="F85" i="1"/>
  <c r="F86" i="1"/>
  <c r="F87" i="1"/>
  <c r="F88" i="1"/>
  <c r="F34" i="1"/>
  <c r="F35" i="1"/>
  <c r="F36" i="1"/>
  <c r="F37" i="1"/>
  <c r="E204" i="25" l="1"/>
  <c r="F920" i="25"/>
  <c r="F874" i="25"/>
  <c r="F828" i="25"/>
  <c r="F782" i="25"/>
  <c r="F733" i="25"/>
  <c r="F687" i="25"/>
  <c r="F641" i="25"/>
  <c r="F595" i="25"/>
  <c r="F546" i="25"/>
  <c r="F500" i="25"/>
  <c r="F454" i="25"/>
  <c r="F408" i="25"/>
  <c r="F360" i="25"/>
  <c r="F314" i="25"/>
  <c r="F268" i="25"/>
  <c r="F222" i="25"/>
  <c r="F174" i="25"/>
  <c r="F128" i="25"/>
  <c r="F82" i="25"/>
  <c r="F36" i="25"/>
  <c r="F186" i="12"/>
  <c r="F185" i="12"/>
  <c r="F135" i="12"/>
  <c r="F134" i="12"/>
  <c r="F84" i="12"/>
  <c r="F83" i="12"/>
  <c r="F33" i="12"/>
  <c r="F186" i="9"/>
  <c r="F185" i="9"/>
  <c r="F135" i="9"/>
  <c r="F134" i="9"/>
  <c r="F84" i="9"/>
  <c r="F83" i="9"/>
  <c r="F33" i="9"/>
  <c r="F32" i="9"/>
  <c r="F186" i="7"/>
  <c r="F185" i="7"/>
  <c r="F135" i="7"/>
  <c r="F134" i="7"/>
  <c r="F84" i="7"/>
  <c r="F83" i="7"/>
  <c r="F33" i="7"/>
  <c r="F32" i="7"/>
  <c r="F186" i="10"/>
  <c r="F185" i="10"/>
  <c r="F135" i="10"/>
  <c r="F134" i="10"/>
  <c r="F84" i="10"/>
  <c r="F83" i="10"/>
  <c r="F33" i="10"/>
  <c r="F32" i="10"/>
  <c r="F186" i="5"/>
  <c r="F185" i="5"/>
  <c r="F135" i="5"/>
  <c r="F84" i="5"/>
  <c r="F33" i="5"/>
  <c r="F186" i="11"/>
  <c r="F135" i="11"/>
  <c r="F84" i="11"/>
  <c r="F33" i="11"/>
  <c r="F186" i="4"/>
  <c r="F135" i="4"/>
  <c r="F84" i="4"/>
  <c r="F33" i="4"/>
  <c r="L186" i="1"/>
  <c r="L187" i="1" s="1"/>
  <c r="L188" i="1" s="1"/>
  <c r="L189" i="1" s="1"/>
  <c r="L190" i="1" s="1"/>
  <c r="F186" i="1"/>
  <c r="F135" i="1"/>
  <c r="F84" i="1"/>
  <c r="F33" i="1"/>
  <c r="F919" i="25"/>
  <c r="F873" i="25"/>
  <c r="F827" i="25"/>
  <c r="F781" i="25" l="1"/>
  <c r="F732" i="25"/>
  <c r="F686" i="25"/>
  <c r="F640" i="25"/>
  <c r="F594" i="25"/>
  <c r="F545" i="25"/>
  <c r="F499" i="25"/>
  <c r="F453" i="25"/>
  <c r="F407" i="25"/>
  <c r="F359" i="25"/>
  <c r="F313" i="25"/>
  <c r="F267" i="25"/>
  <c r="F221" i="25"/>
  <c r="F173" i="25"/>
  <c r="F127" i="25"/>
  <c r="F81" i="25"/>
  <c r="F35" i="25"/>
  <c r="F184" i="12"/>
  <c r="F133" i="12"/>
  <c r="F32" i="12"/>
  <c r="F31" i="12"/>
  <c r="F82" i="12"/>
  <c r="F184" i="9"/>
  <c r="F133" i="9"/>
  <c r="F82" i="9"/>
  <c r="F184" i="7"/>
  <c r="F82" i="7"/>
  <c r="F184" i="10"/>
  <c r="F133" i="10"/>
  <c r="F82" i="10"/>
  <c r="F31" i="10" l="1"/>
  <c r="F184" i="5"/>
  <c r="F134" i="5"/>
  <c r="F133" i="5"/>
  <c r="F83" i="5"/>
  <c r="F82" i="5"/>
  <c r="F32" i="5"/>
  <c r="F31" i="5"/>
  <c r="F185" i="11"/>
  <c r="F184" i="11"/>
  <c r="F134" i="11"/>
  <c r="F83" i="11"/>
  <c r="F32" i="11"/>
  <c r="F185" i="4"/>
  <c r="F134" i="4"/>
  <c r="F83" i="4"/>
  <c r="F32" i="4"/>
  <c r="F185" i="1"/>
  <c r="F134" i="1"/>
  <c r="F83" i="1"/>
  <c r="F32" i="1"/>
  <c r="F80" i="25"/>
  <c r="F34" i="25"/>
  <c r="F133" i="7"/>
  <c r="F133" i="11"/>
  <c r="F33" i="25"/>
  <c r="F183" i="12"/>
  <c r="F132" i="12"/>
  <c r="F81" i="12"/>
  <c r="I183" i="9"/>
  <c r="F183" i="9"/>
  <c r="F132" i="9"/>
  <c r="I81" i="9"/>
  <c r="F81" i="9"/>
  <c r="F183" i="7"/>
  <c r="I132" i="7"/>
  <c r="I133" i="7" s="1"/>
  <c r="F132" i="7"/>
  <c r="F81" i="7"/>
  <c r="F183" i="10"/>
  <c r="I132" i="10"/>
  <c r="F132" i="10"/>
  <c r="F81" i="10"/>
  <c r="F183" i="5"/>
  <c r="I132" i="5"/>
  <c r="F132" i="5"/>
  <c r="F81" i="5"/>
  <c r="F183" i="11"/>
  <c r="F132" i="11"/>
  <c r="F81" i="11"/>
  <c r="L132" i="1"/>
  <c r="L133" i="1" s="1"/>
  <c r="L134" i="1" s="1"/>
  <c r="L135" i="1" s="1"/>
  <c r="L136" i="1" s="1"/>
  <c r="L137" i="1" s="1"/>
  <c r="L138" i="1" s="1"/>
  <c r="L139" i="1" s="1"/>
  <c r="L81" i="1"/>
  <c r="L82" i="1" s="1"/>
  <c r="L83" i="1" s="1"/>
  <c r="L84" i="1" s="1"/>
  <c r="L85" i="1" s="1"/>
  <c r="L86" i="1" s="1"/>
  <c r="L87" i="1" s="1"/>
  <c r="L88" i="1" s="1"/>
  <c r="L30" i="1"/>
  <c r="L31" i="1" s="1"/>
  <c r="L32" i="1" s="1"/>
  <c r="L33" i="1" s="1"/>
  <c r="L34" i="1" s="1"/>
  <c r="L35" i="1" s="1"/>
  <c r="L36" i="1" s="1"/>
  <c r="L37" i="1" s="1"/>
  <c r="F32" i="25"/>
  <c r="F182" i="12"/>
  <c r="F131" i="12"/>
  <c r="F80" i="12"/>
  <c r="F182" i="9"/>
  <c r="F131" i="9"/>
  <c r="F80" i="9"/>
  <c r="F131" i="7"/>
  <c r="F80" i="7"/>
  <c r="F182" i="10"/>
  <c r="F131" i="10"/>
  <c r="F80" i="10"/>
  <c r="F182" i="5"/>
  <c r="F131" i="5"/>
  <c r="F80" i="5"/>
  <c r="F182" i="11"/>
  <c r="F131" i="11"/>
  <c r="F80" i="11"/>
  <c r="F182" i="4"/>
  <c r="F131" i="4"/>
  <c r="F80" i="4"/>
  <c r="E130" i="1"/>
  <c r="E79" i="4"/>
  <c r="E79" i="1" s="1"/>
  <c r="E28" i="4"/>
  <c r="E28" i="1" s="1"/>
  <c r="F31" i="25"/>
  <c r="F181" i="12"/>
  <c r="F130" i="12"/>
  <c r="F79" i="12"/>
  <c r="F181" i="9"/>
  <c r="F130" i="9"/>
  <c r="F79" i="9"/>
  <c r="F181" i="10"/>
  <c r="F130" i="10"/>
  <c r="F79" i="10"/>
  <c r="L181" i="1"/>
  <c r="L130" i="1"/>
  <c r="I134" i="7" l="1"/>
  <c r="I135" i="7" s="1"/>
  <c r="I136" i="7" s="1"/>
  <c r="I137" i="7" s="1"/>
  <c r="I138" i="7" s="1"/>
  <c r="I139" i="7" s="1"/>
  <c r="I184" i="9"/>
  <c r="I82" i="9"/>
  <c r="I133" i="10"/>
  <c r="I133" i="5"/>
  <c r="I134" i="5" s="1"/>
  <c r="I135" i="5" s="1"/>
  <c r="I136" i="5" s="1"/>
  <c r="I137" i="5" s="1"/>
  <c r="I138" i="5" s="1"/>
  <c r="I139" i="5" s="1"/>
  <c r="I78" i="9"/>
  <c r="I129" i="7"/>
  <c r="I129" i="10"/>
  <c r="I130" i="10" s="1"/>
  <c r="I185" i="9" l="1"/>
  <c r="I186" i="9" s="1"/>
  <c r="I187" i="9" s="1"/>
  <c r="I83" i="9"/>
  <c r="I84" i="9" s="1"/>
  <c r="I85" i="9" s="1"/>
  <c r="I86" i="9" s="1"/>
  <c r="I87" i="9" s="1"/>
  <c r="I88" i="9" s="1"/>
  <c r="I134" i="10"/>
  <c r="I135" i="10" s="1"/>
  <c r="I136" i="10" s="1"/>
  <c r="F30" i="25"/>
  <c r="F180" i="12"/>
  <c r="F129" i="12"/>
  <c r="F78" i="12"/>
  <c r="F180" i="9"/>
  <c r="F129" i="9"/>
  <c r="F78" i="9"/>
  <c r="E66" i="12"/>
  <c r="E15" i="12"/>
  <c r="E66" i="1"/>
  <c r="E15" i="1"/>
  <c r="F77" i="9"/>
  <c r="I188" i="9" l="1"/>
  <c r="I137" i="10"/>
  <c r="I138" i="10" s="1"/>
  <c r="I139" i="10" s="1"/>
  <c r="F177" i="12"/>
  <c r="I176" i="12"/>
  <c r="I177" i="12" s="1"/>
  <c r="I178" i="12" s="1"/>
  <c r="I179" i="12" s="1"/>
  <c r="I180" i="12" s="1"/>
  <c r="I181" i="12" s="1"/>
  <c r="I182" i="12" s="1"/>
  <c r="I183" i="12" s="1"/>
  <c r="F176" i="12"/>
  <c r="F126" i="12"/>
  <c r="I125" i="12"/>
  <c r="I126" i="12" s="1"/>
  <c r="I127" i="12" s="1"/>
  <c r="I128" i="12" s="1"/>
  <c r="I129" i="12" s="1"/>
  <c r="I130" i="12" s="1"/>
  <c r="I131" i="12" s="1"/>
  <c r="I132" i="12" s="1"/>
  <c r="I133" i="12" s="1"/>
  <c r="F125" i="12"/>
  <c r="F75" i="12"/>
  <c r="I74" i="12"/>
  <c r="I75" i="12" s="1"/>
  <c r="I76" i="12" s="1"/>
  <c r="I77" i="12" s="1"/>
  <c r="I78" i="12" s="1"/>
  <c r="I79" i="12" s="1"/>
  <c r="I80" i="12" s="1"/>
  <c r="I81" i="12" s="1"/>
  <c r="F74" i="12"/>
  <c r="F24" i="12"/>
  <c r="I23" i="12"/>
  <c r="I24" i="12" s="1"/>
  <c r="I25" i="12" s="1"/>
  <c r="I26" i="12" s="1"/>
  <c r="I27" i="12" s="1"/>
  <c r="I28" i="12" s="1"/>
  <c r="I29" i="12" s="1"/>
  <c r="I30" i="12" s="1"/>
  <c r="F23" i="12"/>
  <c r="F177" i="9"/>
  <c r="F176" i="9"/>
  <c r="F126" i="9"/>
  <c r="I125" i="9"/>
  <c r="I126" i="9" s="1"/>
  <c r="I127" i="9" s="1"/>
  <c r="I128" i="9" s="1"/>
  <c r="I129" i="9" s="1"/>
  <c r="I130" i="9" s="1"/>
  <c r="I131" i="9" s="1"/>
  <c r="I132" i="9" s="1"/>
  <c r="F125" i="9"/>
  <c r="F75" i="9"/>
  <c r="F74" i="9"/>
  <c r="F24" i="9"/>
  <c r="I23" i="9"/>
  <c r="I24" i="9" s="1"/>
  <c r="I25" i="9" s="1"/>
  <c r="I26" i="9" s="1"/>
  <c r="I27" i="9" s="1"/>
  <c r="I28" i="9" s="1"/>
  <c r="I29" i="9" s="1"/>
  <c r="I30" i="9" s="1"/>
  <c r="I31" i="9" s="1"/>
  <c r="F23" i="9"/>
  <c r="F177" i="7"/>
  <c r="I176" i="7"/>
  <c r="I177" i="7" s="1"/>
  <c r="I178" i="7" s="1"/>
  <c r="I179" i="7" s="1"/>
  <c r="I180" i="7" s="1"/>
  <c r="I181" i="7" s="1"/>
  <c r="I182" i="7" s="1"/>
  <c r="I183" i="7" s="1"/>
  <c r="F176" i="7"/>
  <c r="F126" i="7"/>
  <c r="F125" i="7"/>
  <c r="F75" i="7"/>
  <c r="I74" i="7"/>
  <c r="I75" i="7" s="1"/>
  <c r="I76" i="7" s="1"/>
  <c r="I77" i="7" s="1"/>
  <c r="I78" i="7" s="1"/>
  <c r="I79" i="7" s="1"/>
  <c r="I80" i="7" s="1"/>
  <c r="I81" i="7" s="1"/>
  <c r="F74" i="7"/>
  <c r="F24" i="7"/>
  <c r="I23" i="7"/>
  <c r="I24" i="7" s="1"/>
  <c r="I25" i="7" s="1"/>
  <c r="I26" i="7" s="1"/>
  <c r="I27" i="7" s="1"/>
  <c r="I28" i="7" s="1"/>
  <c r="I29" i="7" s="1"/>
  <c r="I30" i="7" s="1"/>
  <c r="I31" i="7" s="1"/>
  <c r="F23" i="7"/>
  <c r="F177" i="10"/>
  <c r="I176" i="10"/>
  <c r="I177" i="10" s="1"/>
  <c r="I178" i="10" s="1"/>
  <c r="I179" i="10" s="1"/>
  <c r="I180" i="10" s="1"/>
  <c r="I181" i="10" s="1"/>
  <c r="I182" i="10" s="1"/>
  <c r="I183" i="10" s="1"/>
  <c r="F176" i="10"/>
  <c r="F126" i="10"/>
  <c r="F125" i="10"/>
  <c r="F75" i="10"/>
  <c r="I74" i="10"/>
  <c r="I75" i="10" s="1"/>
  <c r="I76" i="10" s="1"/>
  <c r="I77" i="10" s="1"/>
  <c r="I78" i="10" s="1"/>
  <c r="I79" i="10" s="1"/>
  <c r="I80" i="10" s="1"/>
  <c r="I81" i="10" s="1"/>
  <c r="F74" i="10"/>
  <c r="F24" i="10"/>
  <c r="I23" i="10"/>
  <c r="I24" i="10" s="1"/>
  <c r="I25" i="10" s="1"/>
  <c r="I26" i="10" s="1"/>
  <c r="I27" i="10" s="1"/>
  <c r="I28" i="10" s="1"/>
  <c r="I29" i="10" s="1"/>
  <c r="I30" i="10" s="1"/>
  <c r="F23" i="10"/>
  <c r="F177" i="5"/>
  <c r="I176" i="5"/>
  <c r="I177" i="5" s="1"/>
  <c r="I178" i="5" s="1"/>
  <c r="I179" i="5" s="1"/>
  <c r="I180" i="5" s="1"/>
  <c r="I181" i="5" s="1"/>
  <c r="I182" i="5" s="1"/>
  <c r="I183" i="5" s="1"/>
  <c r="F176" i="5"/>
  <c r="F126" i="5"/>
  <c r="F125" i="5"/>
  <c r="F75" i="5"/>
  <c r="I74" i="5"/>
  <c r="I75" i="5" s="1"/>
  <c r="I76" i="5" s="1"/>
  <c r="I77" i="5" s="1"/>
  <c r="I78" i="5" s="1"/>
  <c r="I79" i="5" s="1"/>
  <c r="I80" i="5" s="1"/>
  <c r="I81" i="5" s="1"/>
  <c r="F74" i="5"/>
  <c r="F24" i="5"/>
  <c r="I23" i="5"/>
  <c r="I24" i="5" s="1"/>
  <c r="I25" i="5" s="1"/>
  <c r="I26" i="5" s="1"/>
  <c r="I27" i="5" s="1"/>
  <c r="I28" i="5" s="1"/>
  <c r="I29" i="5" s="1"/>
  <c r="I30" i="5" s="1"/>
  <c r="F23" i="5"/>
  <c r="F177" i="11"/>
  <c r="I176" i="11"/>
  <c r="I177" i="11" s="1"/>
  <c r="I178" i="11" s="1"/>
  <c r="I179" i="11" s="1"/>
  <c r="I180" i="11" s="1"/>
  <c r="I181" i="11" s="1"/>
  <c r="I182" i="11" s="1"/>
  <c r="I183" i="11" s="1"/>
  <c r="I184" i="11" s="1"/>
  <c r="I185" i="11" s="1"/>
  <c r="I186" i="11" s="1"/>
  <c r="I187" i="11" s="1"/>
  <c r="I188" i="11" s="1"/>
  <c r="I189" i="11" s="1"/>
  <c r="I190" i="11" s="1"/>
  <c r="F176" i="11"/>
  <c r="F126" i="11"/>
  <c r="I125" i="11"/>
  <c r="I126" i="11" s="1"/>
  <c r="I127" i="11" s="1"/>
  <c r="I128" i="11" s="1"/>
  <c r="I129" i="11" s="1"/>
  <c r="I130" i="11" s="1"/>
  <c r="I131" i="11" s="1"/>
  <c r="I132" i="11" s="1"/>
  <c r="I133" i="11" s="1"/>
  <c r="F125" i="11"/>
  <c r="F75" i="11"/>
  <c r="I74" i="11"/>
  <c r="I75" i="11" s="1"/>
  <c r="I76" i="11" s="1"/>
  <c r="I77" i="11" s="1"/>
  <c r="I78" i="11" s="1"/>
  <c r="I79" i="11" s="1"/>
  <c r="I80" i="11" s="1"/>
  <c r="I81" i="11" s="1"/>
  <c r="I82" i="11" s="1"/>
  <c r="I83" i="11" s="1"/>
  <c r="I84" i="11" s="1"/>
  <c r="I85" i="11" s="1"/>
  <c r="I86" i="11" s="1"/>
  <c r="I87" i="11" s="1"/>
  <c r="I88" i="11" s="1"/>
  <c r="F74" i="11"/>
  <c r="F24" i="11"/>
  <c r="F23" i="11"/>
  <c r="F177" i="4"/>
  <c r="F176" i="4"/>
  <c r="F126" i="4"/>
  <c r="F125" i="4"/>
  <c r="F75" i="4"/>
  <c r="F74" i="4"/>
  <c r="F24" i="4"/>
  <c r="F23" i="4"/>
  <c r="F177" i="1"/>
  <c r="F176" i="1"/>
  <c r="F126" i="1"/>
  <c r="F125" i="1"/>
  <c r="F75" i="1"/>
  <c r="F74" i="1"/>
  <c r="F25" i="1"/>
  <c r="F26" i="1"/>
  <c r="F24" i="1"/>
  <c r="F23" i="1"/>
  <c r="F918" i="25"/>
  <c r="F917" i="25"/>
  <c r="F916" i="25"/>
  <c r="F915" i="25"/>
  <c r="F914" i="25"/>
  <c r="F913" i="25"/>
  <c r="F912" i="25"/>
  <c r="F911" i="25"/>
  <c r="F910" i="25"/>
  <c r="F909" i="25"/>
  <c r="F908" i="25"/>
  <c r="F907" i="25"/>
  <c r="F906" i="25"/>
  <c r="F905" i="25"/>
  <c r="F904" i="25"/>
  <c r="F903" i="25"/>
  <c r="F902" i="25"/>
  <c r="F901" i="25"/>
  <c r="F900" i="25"/>
  <c r="F899" i="25"/>
  <c r="F898" i="25"/>
  <c r="F897" i="25"/>
  <c r="G897" i="25" s="1"/>
  <c r="F872" i="25"/>
  <c r="F871" i="25"/>
  <c r="F870" i="25"/>
  <c r="F869" i="25"/>
  <c r="F868" i="25"/>
  <c r="F867" i="25"/>
  <c r="F866" i="25"/>
  <c r="F865" i="25"/>
  <c r="F864" i="25"/>
  <c r="F863" i="25"/>
  <c r="F862" i="25"/>
  <c r="F861" i="25"/>
  <c r="F860" i="25"/>
  <c r="F859" i="25"/>
  <c r="F858" i="25"/>
  <c r="F857" i="25"/>
  <c r="F856" i="25"/>
  <c r="F855" i="25"/>
  <c r="F854" i="25"/>
  <c r="G854" i="25" s="1"/>
  <c r="F826" i="25"/>
  <c r="F825" i="25"/>
  <c r="F824" i="25"/>
  <c r="F823" i="25"/>
  <c r="F822" i="25"/>
  <c r="F821" i="25"/>
  <c r="F820" i="25"/>
  <c r="F819" i="25"/>
  <c r="F818" i="25"/>
  <c r="F817" i="25"/>
  <c r="F816" i="25"/>
  <c r="F815" i="25"/>
  <c r="F814" i="25"/>
  <c r="F813" i="25"/>
  <c r="F812" i="25"/>
  <c r="F811" i="25"/>
  <c r="F810" i="25"/>
  <c r="F809" i="25"/>
  <c r="F808" i="25"/>
  <c r="E807" i="25"/>
  <c r="F807" i="25" s="1"/>
  <c r="F806" i="25"/>
  <c r="F805" i="25"/>
  <c r="F804" i="25"/>
  <c r="G804" i="25" s="1"/>
  <c r="F780" i="25"/>
  <c r="F779" i="25"/>
  <c r="F778" i="25"/>
  <c r="F777" i="25"/>
  <c r="F776" i="25"/>
  <c r="F775" i="25"/>
  <c r="F774" i="25"/>
  <c r="F773" i="25"/>
  <c r="F772" i="25"/>
  <c r="F771" i="25"/>
  <c r="F770" i="25"/>
  <c r="F769" i="25"/>
  <c r="F768" i="25"/>
  <c r="F767" i="25"/>
  <c r="F766" i="25"/>
  <c r="F765" i="25"/>
  <c r="F764" i="25"/>
  <c r="F763" i="25"/>
  <c r="F762" i="25"/>
  <c r="E761" i="25"/>
  <c r="F761" i="25" s="1"/>
  <c r="F760" i="25"/>
  <c r="F759" i="25"/>
  <c r="F758" i="25"/>
  <c r="G758" i="25" s="1"/>
  <c r="F731" i="25"/>
  <c r="F730" i="25"/>
  <c r="F729" i="25"/>
  <c r="F728" i="25"/>
  <c r="F727" i="25"/>
  <c r="F726" i="25"/>
  <c r="F725" i="25"/>
  <c r="F724" i="25"/>
  <c r="F723" i="25"/>
  <c r="F722" i="25"/>
  <c r="F721" i="25"/>
  <c r="F720" i="25"/>
  <c r="F719" i="25"/>
  <c r="F718" i="25"/>
  <c r="F717" i="25"/>
  <c r="F716" i="25"/>
  <c r="F715" i="25"/>
  <c r="F714" i="25"/>
  <c r="F713" i="25"/>
  <c r="F712" i="25"/>
  <c r="F711" i="25"/>
  <c r="F710" i="25"/>
  <c r="F709" i="25"/>
  <c r="G709" i="25" s="1"/>
  <c r="F685" i="25"/>
  <c r="F684" i="25"/>
  <c r="F683" i="25"/>
  <c r="F682" i="25"/>
  <c r="F681" i="25"/>
  <c r="F680" i="25"/>
  <c r="F679" i="25"/>
  <c r="F678" i="25"/>
  <c r="F677" i="25"/>
  <c r="F676" i="25"/>
  <c r="F675" i="25"/>
  <c r="F674" i="25"/>
  <c r="F673" i="25"/>
  <c r="F672" i="25"/>
  <c r="F671" i="25"/>
  <c r="F670" i="25"/>
  <c r="F669" i="25"/>
  <c r="F668" i="25"/>
  <c r="D667" i="25"/>
  <c r="F667" i="25" s="1"/>
  <c r="F666" i="25"/>
  <c r="F665" i="25"/>
  <c r="F664" i="25"/>
  <c r="G664" i="25" s="1"/>
  <c r="F639" i="25"/>
  <c r="F638" i="25"/>
  <c r="F637" i="25"/>
  <c r="F636" i="25"/>
  <c r="F635" i="25"/>
  <c r="F634" i="25"/>
  <c r="F633" i="25"/>
  <c r="F632" i="25"/>
  <c r="F631" i="25"/>
  <c r="F630" i="25"/>
  <c r="F629" i="25"/>
  <c r="F628" i="25"/>
  <c r="F627" i="25"/>
  <c r="F626" i="25"/>
  <c r="F625" i="25"/>
  <c r="F624" i="25"/>
  <c r="F623" i="25"/>
  <c r="F622" i="25"/>
  <c r="F621" i="25"/>
  <c r="F620" i="25"/>
  <c r="F619" i="25"/>
  <c r="F618" i="25"/>
  <c r="G618" i="25" s="1"/>
  <c r="F593" i="25"/>
  <c r="F592" i="25"/>
  <c r="F591" i="25"/>
  <c r="F590" i="25"/>
  <c r="F589" i="25"/>
  <c r="F588" i="25"/>
  <c r="F587" i="25"/>
  <c r="F586" i="25"/>
  <c r="F585" i="25"/>
  <c r="F584" i="25"/>
  <c r="F583" i="25"/>
  <c r="F582" i="25"/>
  <c r="F581" i="25"/>
  <c r="F580" i="25"/>
  <c r="F579" i="25"/>
  <c r="F578" i="25"/>
  <c r="F577" i="25"/>
  <c r="F576" i="25"/>
  <c r="F575" i="25"/>
  <c r="F574" i="25"/>
  <c r="F573" i="25"/>
  <c r="F572" i="25"/>
  <c r="F571" i="25"/>
  <c r="G571" i="25" s="1"/>
  <c r="F544" i="25"/>
  <c r="F543" i="25"/>
  <c r="F542" i="25"/>
  <c r="F541" i="25"/>
  <c r="F540" i="25"/>
  <c r="F539" i="25"/>
  <c r="F538" i="25"/>
  <c r="F537" i="25"/>
  <c r="F536" i="25"/>
  <c r="F535" i="25"/>
  <c r="F534" i="25"/>
  <c r="F533" i="25"/>
  <c r="F532" i="25"/>
  <c r="F531" i="25"/>
  <c r="F530" i="25"/>
  <c r="F529" i="25"/>
  <c r="F528" i="25"/>
  <c r="F527" i="25"/>
  <c r="F526" i="25"/>
  <c r="F525" i="25"/>
  <c r="F524" i="25"/>
  <c r="F523" i="25"/>
  <c r="F522" i="25"/>
  <c r="G522" i="25" s="1"/>
  <c r="F498" i="25"/>
  <c r="F497" i="25"/>
  <c r="F496" i="25"/>
  <c r="F495" i="25"/>
  <c r="F494" i="25"/>
  <c r="F493" i="25"/>
  <c r="F492" i="25"/>
  <c r="F491" i="25"/>
  <c r="F490" i="25"/>
  <c r="F489" i="25"/>
  <c r="F488" i="25"/>
  <c r="F487" i="25"/>
  <c r="F486" i="25"/>
  <c r="F485" i="25"/>
  <c r="F484" i="25"/>
  <c r="F483" i="25"/>
  <c r="F482" i="25"/>
  <c r="F481" i="25"/>
  <c r="F480" i="25"/>
  <c r="F479" i="25"/>
  <c r="F478" i="25"/>
  <c r="F477" i="25"/>
  <c r="G477" i="25" s="1"/>
  <c r="F452" i="25"/>
  <c r="F451" i="25"/>
  <c r="F450" i="25"/>
  <c r="F449" i="25"/>
  <c r="F448" i="25"/>
  <c r="F447" i="25"/>
  <c r="F446" i="25"/>
  <c r="F445" i="25"/>
  <c r="F444" i="25"/>
  <c r="F443" i="25"/>
  <c r="F442" i="25"/>
  <c r="F441" i="25"/>
  <c r="F440" i="25"/>
  <c r="F439" i="25"/>
  <c r="F438" i="25"/>
  <c r="F437" i="25"/>
  <c r="F436" i="25"/>
  <c r="F435" i="25"/>
  <c r="F434" i="25"/>
  <c r="E433" i="25"/>
  <c r="F433" i="25" s="1"/>
  <c r="F432" i="25"/>
  <c r="F431" i="25"/>
  <c r="F430" i="25"/>
  <c r="G430" i="25" s="1"/>
  <c r="F406" i="25"/>
  <c r="F405" i="25"/>
  <c r="F404" i="25"/>
  <c r="F403" i="25"/>
  <c r="F402" i="25"/>
  <c r="F401" i="25"/>
  <c r="F400" i="25"/>
  <c r="F399" i="25"/>
  <c r="F398" i="25"/>
  <c r="F397" i="25"/>
  <c r="F396" i="25"/>
  <c r="F395" i="25"/>
  <c r="F394" i="25"/>
  <c r="F393" i="25"/>
  <c r="F392" i="25"/>
  <c r="F391" i="25"/>
  <c r="F390" i="25"/>
  <c r="F389" i="25"/>
  <c r="F388" i="25"/>
  <c r="E387" i="25"/>
  <c r="F387" i="25" s="1"/>
  <c r="F386" i="25"/>
  <c r="F385" i="25"/>
  <c r="F384" i="25"/>
  <c r="G384" i="25" s="1"/>
  <c r="F358" i="25"/>
  <c r="F357" i="25"/>
  <c r="F356" i="25"/>
  <c r="F355" i="25"/>
  <c r="F354" i="25"/>
  <c r="F353" i="25"/>
  <c r="F352" i="25"/>
  <c r="F351" i="25"/>
  <c r="F350" i="25"/>
  <c r="F349" i="25"/>
  <c r="F348" i="25"/>
  <c r="F347" i="25"/>
  <c r="F346" i="25"/>
  <c r="F345" i="25"/>
  <c r="F344" i="25"/>
  <c r="F343" i="25"/>
  <c r="F342" i="25"/>
  <c r="F341" i="25"/>
  <c r="F340" i="25"/>
  <c r="G340" i="25" s="1"/>
  <c r="F312" i="25"/>
  <c r="F311" i="25"/>
  <c r="F310" i="25"/>
  <c r="F309" i="25"/>
  <c r="F308" i="25"/>
  <c r="F307" i="25"/>
  <c r="F306" i="25"/>
  <c r="F305" i="25"/>
  <c r="F304" i="25"/>
  <c r="F303" i="25"/>
  <c r="F302" i="25"/>
  <c r="F301" i="25"/>
  <c r="F300" i="25"/>
  <c r="F299" i="25"/>
  <c r="F298" i="25"/>
  <c r="F297" i="25"/>
  <c r="F296" i="25"/>
  <c r="F295" i="25"/>
  <c r="F294" i="25"/>
  <c r="G294" i="25" s="1"/>
  <c r="F266" i="25"/>
  <c r="F265" i="25"/>
  <c r="F264" i="25"/>
  <c r="F263" i="25"/>
  <c r="F262" i="25"/>
  <c r="F261" i="25"/>
  <c r="F260" i="25"/>
  <c r="F259" i="25"/>
  <c r="F258" i="25"/>
  <c r="F257" i="25"/>
  <c r="F256" i="25"/>
  <c r="F255" i="25"/>
  <c r="F254" i="25"/>
  <c r="F253" i="25"/>
  <c r="F252" i="25"/>
  <c r="F251" i="25"/>
  <c r="F250" i="25"/>
  <c r="F249" i="25"/>
  <c r="F248" i="25"/>
  <c r="F247" i="25"/>
  <c r="F246" i="25"/>
  <c r="F245" i="25"/>
  <c r="F244" i="25"/>
  <c r="G244" i="25" s="1"/>
  <c r="F220" i="25"/>
  <c r="F219" i="25"/>
  <c r="F218" i="25"/>
  <c r="F217" i="25"/>
  <c r="F216" i="25"/>
  <c r="F215" i="25"/>
  <c r="F214" i="25"/>
  <c r="F213" i="25"/>
  <c r="F212" i="25"/>
  <c r="F211" i="25"/>
  <c r="F210" i="25"/>
  <c r="F209" i="25"/>
  <c r="F208" i="25"/>
  <c r="F207" i="25"/>
  <c r="F206" i="25"/>
  <c r="F205" i="25"/>
  <c r="F204" i="25"/>
  <c r="F203" i="25"/>
  <c r="F202" i="25"/>
  <c r="F201" i="25"/>
  <c r="F200" i="25"/>
  <c r="F199" i="25"/>
  <c r="F198" i="25"/>
  <c r="G198" i="25" s="1"/>
  <c r="F172" i="25"/>
  <c r="F171" i="25"/>
  <c r="F170" i="25"/>
  <c r="F169" i="25"/>
  <c r="F168" i="25"/>
  <c r="F167" i="25"/>
  <c r="F166" i="25"/>
  <c r="F165" i="25"/>
  <c r="F164" i="25"/>
  <c r="F163" i="25"/>
  <c r="F162" i="25"/>
  <c r="F161" i="25"/>
  <c r="F160" i="25"/>
  <c r="F159" i="25"/>
  <c r="F158" i="25"/>
  <c r="F157" i="25"/>
  <c r="F156" i="25"/>
  <c r="F155" i="25"/>
  <c r="F154" i="25"/>
  <c r="F152" i="25"/>
  <c r="F151" i="25"/>
  <c r="F150" i="25"/>
  <c r="G150" i="25" s="1"/>
  <c r="F126" i="25"/>
  <c r="F125" i="25"/>
  <c r="F124" i="25"/>
  <c r="F123" i="25"/>
  <c r="F122" i="25"/>
  <c r="F121" i="25"/>
  <c r="F120" i="25"/>
  <c r="F119" i="25"/>
  <c r="F118" i="25"/>
  <c r="F117" i="25"/>
  <c r="F116" i="25"/>
  <c r="F115" i="25"/>
  <c r="F114" i="25"/>
  <c r="F113" i="25"/>
  <c r="F112" i="25"/>
  <c r="F111" i="25"/>
  <c r="F110" i="25"/>
  <c r="F109" i="25"/>
  <c r="F108" i="25"/>
  <c r="G108" i="25" s="1"/>
  <c r="G105" i="25"/>
  <c r="G106" i="25" s="1"/>
  <c r="F79" i="25"/>
  <c r="F78" i="25"/>
  <c r="F77" i="25"/>
  <c r="F76" i="25"/>
  <c r="F75" i="25"/>
  <c r="F74" i="25"/>
  <c r="F73" i="25"/>
  <c r="F72" i="25"/>
  <c r="F71" i="25"/>
  <c r="F70" i="25"/>
  <c r="F69" i="25"/>
  <c r="F68" i="25"/>
  <c r="F67" i="25"/>
  <c r="F66" i="25"/>
  <c r="F65" i="25"/>
  <c r="F64" i="25"/>
  <c r="F63" i="25"/>
  <c r="F62" i="25"/>
  <c r="F61" i="25"/>
  <c r="G58" i="25"/>
  <c r="G59" i="25" s="1"/>
  <c r="G60" i="25" s="1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G15" i="25"/>
  <c r="F15" i="25"/>
  <c r="F175" i="12"/>
  <c r="F124" i="12"/>
  <c r="F73" i="12"/>
  <c r="F22" i="12"/>
  <c r="F175" i="9"/>
  <c r="F124" i="9"/>
  <c r="F73" i="9"/>
  <c r="F22" i="9"/>
  <c r="F175" i="7"/>
  <c r="F124" i="7"/>
  <c r="F73" i="7"/>
  <c r="F22" i="7"/>
  <c r="F175" i="10"/>
  <c r="F124" i="10"/>
  <c r="F73" i="10"/>
  <c r="F22" i="10"/>
  <c r="F175" i="5"/>
  <c r="F124" i="5"/>
  <c r="F73" i="5"/>
  <c r="F22" i="5"/>
  <c r="F175" i="11"/>
  <c r="F124" i="11"/>
  <c r="F73" i="11"/>
  <c r="I22" i="11"/>
  <c r="I23" i="11" s="1"/>
  <c r="I24" i="11" s="1"/>
  <c r="I25" i="11" s="1"/>
  <c r="I26" i="11" s="1"/>
  <c r="I27" i="11" s="1"/>
  <c r="I28" i="11" s="1"/>
  <c r="I29" i="11" s="1"/>
  <c r="I30" i="11" s="1"/>
  <c r="I31" i="11" s="1"/>
  <c r="I32" i="11" s="1"/>
  <c r="I33" i="11" s="1"/>
  <c r="I34" i="11" s="1"/>
  <c r="I35" i="11" s="1"/>
  <c r="I36" i="11" s="1"/>
  <c r="I37" i="11" s="1"/>
  <c r="F22" i="11"/>
  <c r="I175" i="4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F175" i="4"/>
  <c r="I124" i="4"/>
  <c r="I125" i="4" s="1"/>
  <c r="I126" i="4" s="1"/>
  <c r="I127" i="4" s="1"/>
  <c r="I128" i="4" s="1"/>
  <c r="I129" i="4" s="1"/>
  <c r="I130" i="4" s="1"/>
  <c r="I131" i="4" s="1"/>
  <c r="I132" i="4" s="1"/>
  <c r="I133" i="4" s="1"/>
  <c r="F124" i="4"/>
  <c r="I73" i="4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F73" i="4"/>
  <c r="I22" i="4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F22" i="4"/>
  <c r="I175" i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I186" i="1" s="1"/>
  <c r="I187" i="1" s="1"/>
  <c r="I188" i="1" s="1"/>
  <c r="I189" i="1" s="1"/>
  <c r="I190" i="1" s="1"/>
  <c r="F175" i="1"/>
  <c r="I124" i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F124" i="1"/>
  <c r="I73" i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F73" i="1"/>
  <c r="F22" i="1"/>
  <c r="I189" i="9" l="1"/>
  <c r="I190" i="9" s="1"/>
  <c r="I134" i="12"/>
  <c r="I135" i="12" s="1"/>
  <c r="I136" i="12" s="1"/>
  <c r="I137" i="12" s="1"/>
  <c r="I138" i="12" s="1"/>
  <c r="I139" i="12" s="1"/>
  <c r="I32" i="9"/>
  <c r="I33" i="9" s="1"/>
  <c r="I34" i="9" s="1"/>
  <c r="I35" i="9" s="1"/>
  <c r="I36" i="9" s="1"/>
  <c r="I37" i="9" s="1"/>
  <c r="I32" i="7"/>
  <c r="I33" i="7" s="1"/>
  <c r="I34" i="7" s="1"/>
  <c r="I35" i="7" s="1"/>
  <c r="I134" i="4"/>
  <c r="I135" i="4" s="1"/>
  <c r="I136" i="4" s="1"/>
  <c r="I137" i="4" s="1"/>
  <c r="I138" i="4" s="1"/>
  <c r="I139" i="4" s="1"/>
  <c r="I140" i="4" s="1"/>
  <c r="I184" i="12"/>
  <c r="I31" i="12"/>
  <c r="I32" i="12" s="1"/>
  <c r="I33" i="12" s="1"/>
  <c r="I34" i="12" s="1"/>
  <c r="I82" i="12"/>
  <c r="I133" i="9"/>
  <c r="I184" i="7"/>
  <c r="I82" i="7"/>
  <c r="I83" i="7" s="1"/>
  <c r="I84" i="7" s="1"/>
  <c r="I85" i="7" s="1"/>
  <c r="I86" i="7" s="1"/>
  <c r="I87" i="7" s="1"/>
  <c r="I88" i="7" s="1"/>
  <c r="I184" i="10"/>
  <c r="I82" i="10"/>
  <c r="I31" i="10"/>
  <c r="I184" i="5"/>
  <c r="I82" i="5"/>
  <c r="I83" i="5" s="1"/>
  <c r="I84" i="5" s="1"/>
  <c r="I85" i="5" s="1"/>
  <c r="I86" i="5" s="1"/>
  <c r="I87" i="5" s="1"/>
  <c r="I88" i="5" s="1"/>
  <c r="I31" i="5"/>
  <c r="I32" i="5" s="1"/>
  <c r="I33" i="5" s="1"/>
  <c r="I34" i="5" s="1"/>
  <c r="I35" i="5" s="1"/>
  <c r="I36" i="5" s="1"/>
  <c r="I37" i="5" s="1"/>
  <c r="I134" i="11"/>
  <c r="I135" i="11" s="1"/>
  <c r="I136" i="11" s="1"/>
  <c r="I137" i="11" s="1"/>
  <c r="I138" i="11" s="1"/>
  <c r="I139" i="11" s="1"/>
  <c r="G805" i="25"/>
  <c r="G806" i="25" s="1"/>
  <c r="G807" i="25" s="1"/>
  <c r="G808" i="25" s="1"/>
  <c r="G809" i="25" s="1"/>
  <c r="G810" i="25" s="1"/>
  <c r="G811" i="25" s="1"/>
  <c r="G812" i="25" s="1"/>
  <c r="G813" i="25" s="1"/>
  <c r="G814" i="25" s="1"/>
  <c r="G815" i="25" s="1"/>
  <c r="G816" i="25" s="1"/>
  <c r="G817" i="25" s="1"/>
  <c r="G818" i="25" s="1"/>
  <c r="G819" i="25" s="1"/>
  <c r="G820" i="25" s="1"/>
  <c r="G821" i="25" s="1"/>
  <c r="G822" i="25" s="1"/>
  <c r="G245" i="25"/>
  <c r="G246" i="25" s="1"/>
  <c r="G247" i="25" s="1"/>
  <c r="G248" i="25" s="1"/>
  <c r="G249" i="25" s="1"/>
  <c r="G250" i="25" s="1"/>
  <c r="G251" i="25" s="1"/>
  <c r="G252" i="25" s="1"/>
  <c r="G253" i="25" s="1"/>
  <c r="G254" i="25" s="1"/>
  <c r="G255" i="25" s="1"/>
  <c r="G256" i="25" s="1"/>
  <c r="G257" i="25" s="1"/>
  <c r="G258" i="25" s="1"/>
  <c r="G259" i="25" s="1"/>
  <c r="G260" i="25" s="1"/>
  <c r="G855" i="25"/>
  <c r="G856" i="25" s="1"/>
  <c r="G857" i="25" s="1"/>
  <c r="G858" i="25" s="1"/>
  <c r="G859" i="25" s="1"/>
  <c r="G860" i="25" s="1"/>
  <c r="G861" i="25" s="1"/>
  <c r="G862" i="25" s="1"/>
  <c r="G863" i="25" s="1"/>
  <c r="G864" i="25" s="1"/>
  <c r="G865" i="25" s="1"/>
  <c r="G866" i="25" s="1"/>
  <c r="G867" i="25" s="1"/>
  <c r="G868" i="25" s="1"/>
  <c r="G869" i="25" s="1"/>
  <c r="G870" i="25" s="1"/>
  <c r="G871" i="25" s="1"/>
  <c r="G872" i="25" s="1"/>
  <c r="G873" i="25" s="1"/>
  <c r="G874" i="25" s="1"/>
  <c r="G875" i="25" s="1"/>
  <c r="G876" i="25" s="1"/>
  <c r="G877" i="25" s="1"/>
  <c r="G878" i="25" s="1"/>
  <c r="G879" i="25" s="1"/>
  <c r="G880" i="25" s="1"/>
  <c r="G881" i="25" s="1"/>
  <c r="G385" i="25"/>
  <c r="G386" i="25" s="1"/>
  <c r="G387" i="25" s="1"/>
  <c r="G388" i="25" s="1"/>
  <c r="G389" i="25" s="1"/>
  <c r="G390" i="25" s="1"/>
  <c r="G391" i="25" s="1"/>
  <c r="G392" i="25" s="1"/>
  <c r="G393" i="25" s="1"/>
  <c r="G394" i="25" s="1"/>
  <c r="G395" i="25" s="1"/>
  <c r="G396" i="25" s="1"/>
  <c r="G397" i="25" s="1"/>
  <c r="G398" i="25" s="1"/>
  <c r="G399" i="25" s="1"/>
  <c r="G400" i="25" s="1"/>
  <c r="G401" i="25" s="1"/>
  <c r="G402" i="25" s="1"/>
  <c r="G403" i="25" s="1"/>
  <c r="G404" i="25" s="1"/>
  <c r="G405" i="25" s="1"/>
  <c r="G406" i="25" s="1"/>
  <c r="G407" i="25" s="1"/>
  <c r="G408" i="25" s="1"/>
  <c r="G409" i="25" s="1"/>
  <c r="G410" i="25" s="1"/>
  <c r="G411" i="25" s="1"/>
  <c r="G412" i="25" s="1"/>
  <c r="G413" i="25" s="1"/>
  <c r="G414" i="25" s="1"/>
  <c r="G415" i="25" s="1"/>
  <c r="G61" i="25"/>
  <c r="G62" i="25" s="1"/>
  <c r="G63" i="25" s="1"/>
  <c r="G64" i="25" s="1"/>
  <c r="G65" i="25" s="1"/>
  <c r="G66" i="25" s="1"/>
  <c r="G67" i="25" s="1"/>
  <c r="G68" i="25" s="1"/>
  <c r="G69" i="25" s="1"/>
  <c r="G70" i="25" s="1"/>
  <c r="G71" i="25" s="1"/>
  <c r="G72" i="25" s="1"/>
  <c r="G73" i="25" s="1"/>
  <c r="G74" i="25" s="1"/>
  <c r="G75" i="25" s="1"/>
  <c r="G76" i="25" s="1"/>
  <c r="G151" i="25"/>
  <c r="G152" i="25" s="1"/>
  <c r="G153" i="25" s="1"/>
  <c r="G154" i="25" s="1"/>
  <c r="G155" i="25" s="1"/>
  <c r="G156" i="25" s="1"/>
  <c r="G157" i="25" s="1"/>
  <c r="G158" i="25" s="1"/>
  <c r="G159" i="25" s="1"/>
  <c r="G160" i="25" s="1"/>
  <c r="G161" i="25" s="1"/>
  <c r="G162" i="25" s="1"/>
  <c r="G163" i="25" s="1"/>
  <c r="G164" i="25" s="1"/>
  <c r="G165" i="25" s="1"/>
  <c r="G166" i="25" s="1"/>
  <c r="G167" i="25" s="1"/>
  <c r="G168" i="25" s="1"/>
  <c r="G169" i="25" s="1"/>
  <c r="G170" i="25" s="1"/>
  <c r="G171" i="25" s="1"/>
  <c r="G172" i="25" s="1"/>
  <c r="G173" i="25" s="1"/>
  <c r="G174" i="25" s="1"/>
  <c r="G175" i="25" s="1"/>
  <c r="G176" i="25" s="1"/>
  <c r="G177" i="25" s="1"/>
  <c r="G178" i="25" s="1"/>
  <c r="G179" i="25" s="1"/>
  <c r="G180" i="25" s="1"/>
  <c r="G181" i="25" s="1"/>
  <c r="G710" i="25"/>
  <c r="G711" i="25" s="1"/>
  <c r="G712" i="25" s="1"/>
  <c r="G713" i="25" s="1"/>
  <c r="G714" i="25" s="1"/>
  <c r="G715" i="25" s="1"/>
  <c r="G716" i="25" s="1"/>
  <c r="G717" i="25" s="1"/>
  <c r="G718" i="25" s="1"/>
  <c r="G719" i="25" s="1"/>
  <c r="G720" i="25" s="1"/>
  <c r="G721" i="25" s="1"/>
  <c r="G722" i="25" s="1"/>
  <c r="G723" i="25" s="1"/>
  <c r="G724" i="25" s="1"/>
  <c r="G725" i="25" s="1"/>
  <c r="G726" i="25" s="1"/>
  <c r="G727" i="25" s="1"/>
  <c r="G728" i="25" s="1"/>
  <c r="G729" i="25" s="1"/>
  <c r="G730" i="25" s="1"/>
  <c r="G731" i="25" s="1"/>
  <c r="G732" i="25" s="1"/>
  <c r="G733" i="25" s="1"/>
  <c r="G734" i="25" s="1"/>
  <c r="G735" i="25" s="1"/>
  <c r="G736" i="25" s="1"/>
  <c r="G737" i="25" s="1"/>
  <c r="G738" i="25" s="1"/>
  <c r="G739" i="25" s="1"/>
  <c r="G740" i="25" s="1"/>
  <c r="G665" i="25"/>
  <c r="G666" i="25" s="1"/>
  <c r="G667" i="25" s="1"/>
  <c r="G668" i="25" s="1"/>
  <c r="G669" i="25" s="1"/>
  <c r="G670" i="25" s="1"/>
  <c r="G671" i="25" s="1"/>
  <c r="G672" i="25" s="1"/>
  <c r="G673" i="25" s="1"/>
  <c r="G674" i="25" s="1"/>
  <c r="G675" i="25" s="1"/>
  <c r="G676" i="25" s="1"/>
  <c r="G677" i="25" s="1"/>
  <c r="G678" i="25" s="1"/>
  <c r="G679" i="25" s="1"/>
  <c r="G680" i="25" s="1"/>
  <c r="G681" i="25" s="1"/>
  <c r="G682" i="25" s="1"/>
  <c r="G683" i="25" s="1"/>
  <c r="G684" i="25" s="1"/>
  <c r="G685" i="25" s="1"/>
  <c r="G686" i="25" s="1"/>
  <c r="G687" i="25" s="1"/>
  <c r="G688" i="25" s="1"/>
  <c r="G689" i="25" s="1"/>
  <c r="G690" i="25" s="1"/>
  <c r="G691" i="25" s="1"/>
  <c r="G692" i="25" s="1"/>
  <c r="G693" i="25" s="1"/>
  <c r="G694" i="25" s="1"/>
  <c r="G341" i="25"/>
  <c r="G342" i="25" s="1"/>
  <c r="G343" i="25" s="1"/>
  <c r="G344" i="25" s="1"/>
  <c r="G345" i="25" s="1"/>
  <c r="G346" i="25" s="1"/>
  <c r="G347" i="25" s="1"/>
  <c r="G348" i="25" s="1"/>
  <c r="G349" i="25" s="1"/>
  <c r="G350" i="25" s="1"/>
  <c r="G351" i="25" s="1"/>
  <c r="G352" i="25" s="1"/>
  <c r="G353" i="25" s="1"/>
  <c r="G354" i="25" s="1"/>
  <c r="G355" i="25" s="1"/>
  <c r="G356" i="25" s="1"/>
  <c r="G357" i="25" s="1"/>
  <c r="G358" i="25" s="1"/>
  <c r="G359" i="25" s="1"/>
  <c r="G360" i="25" s="1"/>
  <c r="G361" i="25" s="1"/>
  <c r="G362" i="25" s="1"/>
  <c r="G363" i="25" s="1"/>
  <c r="G364" i="25" s="1"/>
  <c r="G365" i="25" s="1"/>
  <c r="G366" i="25" s="1"/>
  <c r="G367" i="25" s="1"/>
  <c r="G572" i="25"/>
  <c r="G573" i="25" s="1"/>
  <c r="G574" i="25" s="1"/>
  <c r="G575" i="25" s="1"/>
  <c r="G576" i="25" s="1"/>
  <c r="G577" i="25" s="1"/>
  <c r="G578" i="25" s="1"/>
  <c r="G579" i="25" s="1"/>
  <c r="G580" i="25" s="1"/>
  <c r="G581" i="25" s="1"/>
  <c r="G582" i="25" s="1"/>
  <c r="G583" i="25" s="1"/>
  <c r="G584" i="25" s="1"/>
  <c r="G585" i="25" s="1"/>
  <c r="G586" i="25" s="1"/>
  <c r="G587" i="25" s="1"/>
  <c r="G588" i="25" s="1"/>
  <c r="G589" i="25" s="1"/>
  <c r="G590" i="25" s="1"/>
  <c r="G591" i="25" s="1"/>
  <c r="G592" i="25" s="1"/>
  <c r="G593" i="25" s="1"/>
  <c r="G594" i="25" s="1"/>
  <c r="G595" i="25" s="1"/>
  <c r="G596" i="25" s="1"/>
  <c r="G597" i="25" s="1"/>
  <c r="G598" i="25" s="1"/>
  <c r="G599" i="25" s="1"/>
  <c r="G600" i="25" s="1"/>
  <c r="G601" i="25" s="1"/>
  <c r="G602" i="25" s="1"/>
  <c r="G619" i="25"/>
  <c r="G620" i="25" s="1"/>
  <c r="G621" i="25" s="1"/>
  <c r="G622" i="25" s="1"/>
  <c r="G623" i="25" s="1"/>
  <c r="G624" i="25" s="1"/>
  <c r="G625" i="25" s="1"/>
  <c r="G626" i="25" s="1"/>
  <c r="G627" i="25" s="1"/>
  <c r="G628" i="25" s="1"/>
  <c r="G629" i="25" s="1"/>
  <c r="G630" i="25" s="1"/>
  <c r="G631" i="25" s="1"/>
  <c r="G632" i="25" s="1"/>
  <c r="G633" i="25" s="1"/>
  <c r="G634" i="25" s="1"/>
  <c r="G635" i="25" s="1"/>
  <c r="G523" i="25"/>
  <c r="G524" i="25" s="1"/>
  <c r="G525" i="25" s="1"/>
  <c r="G526" i="25" s="1"/>
  <c r="G527" i="25" s="1"/>
  <c r="G528" i="25" s="1"/>
  <c r="G529" i="25" s="1"/>
  <c r="G530" i="25" s="1"/>
  <c r="G531" i="25" s="1"/>
  <c r="G532" i="25" s="1"/>
  <c r="G533" i="25" s="1"/>
  <c r="G534" i="25" s="1"/>
  <c r="G535" i="25" s="1"/>
  <c r="G536" i="25" s="1"/>
  <c r="G537" i="25" s="1"/>
  <c r="G538" i="25" s="1"/>
  <c r="G539" i="25" s="1"/>
  <c r="G540" i="25" s="1"/>
  <c r="G541" i="25" s="1"/>
  <c r="G542" i="25" s="1"/>
  <c r="G543" i="25" s="1"/>
  <c r="G544" i="25" s="1"/>
  <c r="G545" i="25" s="1"/>
  <c r="G546" i="25" s="1"/>
  <c r="G547" i="25" s="1"/>
  <c r="G548" i="25" s="1"/>
  <c r="G549" i="25" s="1"/>
  <c r="G550" i="25" s="1"/>
  <c r="G551" i="25" s="1"/>
  <c r="G552" i="25" s="1"/>
  <c r="G553" i="25" s="1"/>
  <c r="G295" i="25"/>
  <c r="G296" i="25" s="1"/>
  <c r="G297" i="25" s="1"/>
  <c r="G298" i="25" s="1"/>
  <c r="G299" i="25" s="1"/>
  <c r="G300" i="25" s="1"/>
  <c r="G301" i="25" s="1"/>
  <c r="G302" i="25" s="1"/>
  <c r="G303" i="25" s="1"/>
  <c r="G304" i="25" s="1"/>
  <c r="G305" i="25" s="1"/>
  <c r="G306" i="25" s="1"/>
  <c r="G307" i="25" s="1"/>
  <c r="G308" i="25" s="1"/>
  <c r="G309" i="25" s="1"/>
  <c r="G310" i="25" s="1"/>
  <c r="G311" i="25" s="1"/>
  <c r="G312" i="25" s="1"/>
  <c r="G313" i="25" s="1"/>
  <c r="G314" i="25" s="1"/>
  <c r="G315" i="25" s="1"/>
  <c r="G316" i="25" s="1"/>
  <c r="G317" i="25" s="1"/>
  <c r="G318" i="25" s="1"/>
  <c r="G319" i="25" s="1"/>
  <c r="G320" i="25" s="1"/>
  <c r="G321" i="25" s="1"/>
  <c r="G478" i="25"/>
  <c r="G479" i="25" s="1"/>
  <c r="G480" i="25" s="1"/>
  <c r="G481" i="25" s="1"/>
  <c r="G482" i="25" s="1"/>
  <c r="G483" i="25" s="1"/>
  <c r="G484" i="25" s="1"/>
  <c r="G485" i="25" s="1"/>
  <c r="G486" i="25" s="1"/>
  <c r="G487" i="25" s="1"/>
  <c r="G488" i="25" s="1"/>
  <c r="G489" i="25" s="1"/>
  <c r="G490" i="25" s="1"/>
  <c r="G491" i="25" s="1"/>
  <c r="G492" i="25" s="1"/>
  <c r="G493" i="25" s="1"/>
  <c r="G494" i="25" s="1"/>
  <c r="G495" i="25" s="1"/>
  <c r="G496" i="25" s="1"/>
  <c r="G497" i="25" s="1"/>
  <c r="G498" i="25" s="1"/>
  <c r="G499" i="25" s="1"/>
  <c r="G500" i="25" s="1"/>
  <c r="G501" i="25" s="1"/>
  <c r="G502" i="25" s="1"/>
  <c r="G503" i="25" s="1"/>
  <c r="G504" i="25" s="1"/>
  <c r="G505" i="25" s="1"/>
  <c r="G506" i="25" s="1"/>
  <c r="G507" i="25" s="1"/>
  <c r="G898" i="25"/>
  <c r="G899" i="25" s="1"/>
  <c r="G900" i="25" s="1"/>
  <c r="G901" i="25" s="1"/>
  <c r="G902" i="25" s="1"/>
  <c r="G903" i="25" s="1"/>
  <c r="G904" i="25" s="1"/>
  <c r="G905" i="25" s="1"/>
  <c r="G906" i="25" s="1"/>
  <c r="G907" i="25" s="1"/>
  <c r="G908" i="25" s="1"/>
  <c r="G909" i="25" s="1"/>
  <c r="G910" i="25" s="1"/>
  <c r="G911" i="25" s="1"/>
  <c r="G912" i="25" s="1"/>
  <c r="G913" i="25" s="1"/>
  <c r="G914" i="25" s="1"/>
  <c r="G915" i="25" s="1"/>
  <c r="G916" i="25" s="1"/>
  <c r="G917" i="25" s="1"/>
  <c r="G918" i="25" s="1"/>
  <c r="G919" i="25" s="1"/>
  <c r="G920" i="25" s="1"/>
  <c r="G921" i="25" s="1"/>
  <c r="G922" i="25" s="1"/>
  <c r="G923" i="25" s="1"/>
  <c r="G924" i="25" s="1"/>
  <c r="G925" i="25" s="1"/>
  <c r="G926" i="25" s="1"/>
  <c r="G927" i="25" s="1"/>
  <c r="G16" i="25"/>
  <c r="G17" i="25" s="1"/>
  <c r="G18" i="25" s="1"/>
  <c r="G19" i="25" s="1"/>
  <c r="G20" i="25" s="1"/>
  <c r="G21" i="25" s="1"/>
  <c r="G22" i="25" s="1"/>
  <c r="G23" i="25" s="1"/>
  <c r="G24" i="25" s="1"/>
  <c r="G25" i="25" s="1"/>
  <c r="G26" i="25" s="1"/>
  <c r="G27" i="25" s="1"/>
  <c r="G28" i="25" s="1"/>
  <c r="G29" i="25" s="1"/>
  <c r="G30" i="25" s="1"/>
  <c r="G31" i="25" s="1"/>
  <c r="G32" i="25" s="1"/>
  <c r="G33" i="25" s="1"/>
  <c r="G34" i="25" s="1"/>
  <c r="G35" i="25" s="1"/>
  <c r="G36" i="25" s="1"/>
  <c r="G37" i="25" s="1"/>
  <c r="G38" i="25" s="1"/>
  <c r="G39" i="25" s="1"/>
  <c r="G40" i="25" s="1"/>
  <c r="G41" i="25" s="1"/>
  <c r="G42" i="25" s="1"/>
  <c r="G199" i="25"/>
  <c r="G200" i="25" s="1"/>
  <c r="G201" i="25" s="1"/>
  <c r="G202" i="25" s="1"/>
  <c r="G203" i="25" s="1"/>
  <c r="G204" i="25" s="1"/>
  <c r="G205" i="25" s="1"/>
  <c r="G206" i="25" s="1"/>
  <c r="G207" i="25" s="1"/>
  <c r="G208" i="25" s="1"/>
  <c r="G209" i="25" s="1"/>
  <c r="G210" i="25" s="1"/>
  <c r="G211" i="25" s="1"/>
  <c r="G212" i="25" s="1"/>
  <c r="G213" i="25" s="1"/>
  <c r="G214" i="25" s="1"/>
  <c r="G215" i="25" s="1"/>
  <c r="G216" i="25" s="1"/>
  <c r="G217" i="25" s="1"/>
  <c r="G218" i="25" s="1"/>
  <c r="G219" i="25" s="1"/>
  <c r="G220" i="25" s="1"/>
  <c r="G221" i="25" s="1"/>
  <c r="G222" i="25" s="1"/>
  <c r="G223" i="25" s="1"/>
  <c r="G224" i="25" s="1"/>
  <c r="G225" i="25" s="1"/>
  <c r="G226" i="25" s="1"/>
  <c r="G227" i="25" s="1"/>
  <c r="G228" i="25" s="1"/>
  <c r="G229" i="25" s="1"/>
  <c r="G431" i="25"/>
  <c r="G432" i="25" s="1"/>
  <c r="G433" i="25" s="1"/>
  <c r="G434" i="25" s="1"/>
  <c r="G435" i="25" s="1"/>
  <c r="G436" i="25" s="1"/>
  <c r="G437" i="25" s="1"/>
  <c r="G438" i="25" s="1"/>
  <c r="G439" i="25" s="1"/>
  <c r="G440" i="25" s="1"/>
  <c r="G441" i="25" s="1"/>
  <c r="G442" i="25" s="1"/>
  <c r="G443" i="25" s="1"/>
  <c r="G444" i="25" s="1"/>
  <c r="G445" i="25" s="1"/>
  <c r="G446" i="25" s="1"/>
  <c r="G759" i="25"/>
  <c r="G760" i="25" s="1"/>
  <c r="G761" i="25" s="1"/>
  <c r="G762" i="25" s="1"/>
  <c r="G763" i="25" s="1"/>
  <c r="G764" i="25" s="1"/>
  <c r="G765" i="25" s="1"/>
  <c r="G766" i="25" s="1"/>
  <c r="G767" i="25" s="1"/>
  <c r="G768" i="25" s="1"/>
  <c r="G769" i="25" s="1"/>
  <c r="G770" i="25" s="1"/>
  <c r="G771" i="25" s="1"/>
  <c r="G772" i="25" s="1"/>
  <c r="G773" i="25" s="1"/>
  <c r="G774" i="25" s="1"/>
  <c r="G775" i="25" s="1"/>
  <c r="G776" i="25" s="1"/>
  <c r="G777" i="25" s="1"/>
  <c r="G778" i="25" s="1"/>
  <c r="G779" i="25" s="1"/>
  <c r="G780" i="25" s="1"/>
  <c r="G781" i="25" s="1"/>
  <c r="G782" i="25" s="1"/>
  <c r="G783" i="25" s="1"/>
  <c r="G784" i="25" s="1"/>
  <c r="G785" i="25" s="1"/>
  <c r="G786" i="25" s="1"/>
  <c r="G787" i="25" s="1"/>
  <c r="G788" i="25" s="1"/>
  <c r="G789" i="25" s="1"/>
  <c r="G109" i="25"/>
  <c r="G110" i="25" s="1"/>
  <c r="G111" i="25" s="1"/>
  <c r="G112" i="25" s="1"/>
  <c r="G113" i="25" s="1"/>
  <c r="G114" i="25" s="1"/>
  <c r="G115" i="25" s="1"/>
  <c r="G116" i="25" s="1"/>
  <c r="G117" i="25" s="1"/>
  <c r="G118" i="25" s="1"/>
  <c r="G119" i="25" s="1"/>
  <c r="G120" i="25" s="1"/>
  <c r="G121" i="25" s="1"/>
  <c r="G122" i="25" s="1"/>
  <c r="G123" i="25" s="1"/>
  <c r="G124" i="25" s="1"/>
  <c r="G125" i="25" s="1"/>
  <c r="G126" i="25" s="1"/>
  <c r="G127" i="25" s="1"/>
  <c r="G128" i="25" s="1"/>
  <c r="G129" i="25" s="1"/>
  <c r="G130" i="25" s="1"/>
  <c r="G131" i="25" s="1"/>
  <c r="G132" i="25" s="1"/>
  <c r="G133" i="25" s="1"/>
  <c r="G134" i="25" s="1"/>
  <c r="G135" i="25" s="1"/>
  <c r="G43" i="25" l="1"/>
  <c r="I35" i="12"/>
  <c r="I36" i="12" s="1"/>
  <c r="I37" i="12" s="1"/>
  <c r="I36" i="7"/>
  <c r="I37" i="7" s="1"/>
  <c r="I185" i="12"/>
  <c r="I186" i="12" s="1"/>
  <c r="I187" i="12" s="1"/>
  <c r="I188" i="12" s="1"/>
  <c r="I189" i="12" s="1"/>
  <c r="I190" i="12" s="1"/>
  <c r="I83" i="12"/>
  <c r="I84" i="12" s="1"/>
  <c r="I85" i="12" s="1"/>
  <c r="I134" i="9"/>
  <c r="I135" i="9" s="1"/>
  <c r="I136" i="9" s="1"/>
  <c r="I137" i="9" s="1"/>
  <c r="I185" i="7"/>
  <c r="I186" i="7" s="1"/>
  <c r="I187" i="7" s="1"/>
  <c r="I188" i="7" s="1"/>
  <c r="I185" i="10"/>
  <c r="I186" i="10" s="1"/>
  <c r="I187" i="10" s="1"/>
  <c r="I188" i="10" s="1"/>
  <c r="I189" i="10" s="1"/>
  <c r="I190" i="10" s="1"/>
  <c r="I83" i="10"/>
  <c r="I84" i="10" s="1"/>
  <c r="I85" i="10" s="1"/>
  <c r="I86" i="10" s="1"/>
  <c r="I87" i="10" s="1"/>
  <c r="I88" i="10" s="1"/>
  <c r="I32" i="10"/>
  <c r="I33" i="10" s="1"/>
  <c r="I34" i="10" s="1"/>
  <c r="I35" i="10" s="1"/>
  <c r="I36" i="10" s="1"/>
  <c r="I37" i="10" s="1"/>
  <c r="I185" i="5"/>
  <c r="I186" i="5" s="1"/>
  <c r="I187" i="5" s="1"/>
  <c r="I188" i="5" s="1"/>
  <c r="I189" i="5" s="1"/>
  <c r="I190" i="5" s="1"/>
  <c r="G823" i="25"/>
  <c r="G824" i="25" s="1"/>
  <c r="G825" i="25" s="1"/>
  <c r="G826" i="25" s="1"/>
  <c r="G827" i="25" s="1"/>
  <c r="G828" i="25" s="1"/>
  <c r="G829" i="25" s="1"/>
  <c r="G830" i="25" s="1"/>
  <c r="G831" i="25" s="1"/>
  <c r="G832" i="25" s="1"/>
  <c r="G833" i="25" s="1"/>
  <c r="G834" i="25" s="1"/>
  <c r="G835" i="25" s="1"/>
  <c r="G636" i="25"/>
  <c r="G637" i="25" s="1"/>
  <c r="G638" i="25" s="1"/>
  <c r="G639" i="25" s="1"/>
  <c r="G640" i="25" s="1"/>
  <c r="G641" i="25" s="1"/>
  <c r="G642" i="25" s="1"/>
  <c r="G643" i="25" s="1"/>
  <c r="G644" i="25" s="1"/>
  <c r="G645" i="25" s="1"/>
  <c r="G646" i="25" s="1"/>
  <c r="G647" i="25" s="1"/>
  <c r="G648" i="25" s="1"/>
  <c r="G447" i="25"/>
  <c r="G448" i="25" s="1"/>
  <c r="G449" i="25" s="1"/>
  <c r="G450" i="25" s="1"/>
  <c r="G451" i="25" s="1"/>
  <c r="G452" i="25" s="1"/>
  <c r="G453" i="25" s="1"/>
  <c r="G454" i="25" s="1"/>
  <c r="G455" i="25" s="1"/>
  <c r="G456" i="25" s="1"/>
  <c r="G457" i="25" s="1"/>
  <c r="G458" i="25" s="1"/>
  <c r="G459" i="25" s="1"/>
  <c r="G460" i="25" s="1"/>
  <c r="G461" i="25" s="1"/>
  <c r="G77" i="25"/>
  <c r="G78" i="25" s="1"/>
  <c r="G79" i="25" s="1"/>
  <c r="G80" i="25" s="1"/>
  <c r="G81" i="25" s="1"/>
  <c r="G82" i="25" s="1"/>
  <c r="G83" i="25" s="1"/>
  <c r="G84" i="25" s="1"/>
  <c r="G85" i="25" s="1"/>
  <c r="G86" i="25" s="1"/>
  <c r="G87" i="25" s="1"/>
  <c r="G88" i="25" s="1"/>
  <c r="G89" i="25" s="1"/>
  <c r="G261" i="25"/>
  <c r="G262" i="25" s="1"/>
  <c r="F174" i="12"/>
  <c r="F123" i="12"/>
  <c r="F72" i="12"/>
  <c r="F21" i="12"/>
  <c r="F174" i="9"/>
  <c r="F123" i="9"/>
  <c r="F72" i="9"/>
  <c r="F21" i="9"/>
  <c r="F174" i="7"/>
  <c r="F123" i="7"/>
  <c r="F72" i="7"/>
  <c r="F21" i="7"/>
  <c r="F174" i="10"/>
  <c r="F123" i="10"/>
  <c r="F72" i="10"/>
  <c r="F21" i="10"/>
  <c r="F174" i="5"/>
  <c r="F123" i="5"/>
  <c r="F72" i="5"/>
  <c r="F21" i="5"/>
  <c r="F174" i="11"/>
  <c r="F123" i="11"/>
  <c r="F72" i="11"/>
  <c r="F21" i="11"/>
  <c r="F174" i="4"/>
  <c r="F123" i="4"/>
  <c r="F72" i="4"/>
  <c r="F21" i="4"/>
  <c r="F174" i="1"/>
  <c r="F123" i="1"/>
  <c r="F72" i="1"/>
  <c r="F21" i="1"/>
  <c r="I86" i="12" l="1"/>
  <c r="I87" i="12" s="1"/>
  <c r="I88" i="12" s="1"/>
  <c r="I138" i="9"/>
  <c r="I139" i="9" s="1"/>
  <c r="I189" i="7"/>
  <c r="I190" i="7" s="1"/>
  <c r="G263" i="25"/>
  <c r="G264" i="25" s="1"/>
  <c r="G265" i="25" s="1"/>
  <c r="G266" i="25" s="1"/>
  <c r="G267" i="25" s="1"/>
  <c r="G268" i="25" s="1"/>
  <c r="G269" i="25" s="1"/>
  <c r="G270" i="25" s="1"/>
  <c r="G271" i="25" s="1"/>
  <c r="G272" i="25" s="1"/>
  <c r="G273" i="25" s="1"/>
  <c r="G274" i="25" s="1"/>
  <c r="G275" i="25" s="1"/>
  <c r="F173" i="12"/>
  <c r="I172" i="12"/>
  <c r="I173" i="12" s="1"/>
  <c r="F172" i="12"/>
  <c r="F171" i="12"/>
  <c r="F170" i="12"/>
  <c r="F169" i="12"/>
  <c r="F168" i="12"/>
  <c r="I167" i="12"/>
  <c r="I168" i="12" s="1"/>
  <c r="I169" i="12" s="1"/>
  <c r="I170" i="12" s="1"/>
  <c r="F167" i="12"/>
  <c r="F166" i="12"/>
  <c r="F165" i="12"/>
  <c r="I164" i="12"/>
  <c r="I165" i="12" s="1"/>
  <c r="F164" i="12"/>
  <c r="F163" i="12"/>
  <c r="F162" i="12"/>
  <c r="G162" i="12" s="1"/>
  <c r="F122" i="12"/>
  <c r="I121" i="12"/>
  <c r="I122" i="12" s="1"/>
  <c r="F121" i="12"/>
  <c r="F120" i="12"/>
  <c r="F119" i="12"/>
  <c r="F118" i="12"/>
  <c r="F117" i="12"/>
  <c r="I116" i="12"/>
  <c r="I117" i="12" s="1"/>
  <c r="I118" i="12" s="1"/>
  <c r="I119" i="12" s="1"/>
  <c r="F116" i="12"/>
  <c r="F115" i="12"/>
  <c r="F114" i="12"/>
  <c r="I113" i="12"/>
  <c r="I114" i="12" s="1"/>
  <c r="F113" i="12"/>
  <c r="F112" i="12"/>
  <c r="F111" i="12"/>
  <c r="G111" i="12" s="1"/>
  <c r="F71" i="12"/>
  <c r="I70" i="12"/>
  <c r="I71" i="12" s="1"/>
  <c r="F70" i="12"/>
  <c r="F69" i="12"/>
  <c r="F68" i="12"/>
  <c r="F67" i="12"/>
  <c r="F66" i="12"/>
  <c r="I65" i="12"/>
  <c r="I66" i="12" s="1"/>
  <c r="I67" i="12" s="1"/>
  <c r="I68" i="12" s="1"/>
  <c r="F65" i="12"/>
  <c r="F64" i="12"/>
  <c r="F63" i="12"/>
  <c r="F62" i="12"/>
  <c r="I61" i="12"/>
  <c r="I62" i="12" s="1"/>
  <c r="I63" i="12" s="1"/>
  <c r="F61" i="12"/>
  <c r="F60" i="12"/>
  <c r="G60" i="12" s="1"/>
  <c r="F20" i="12"/>
  <c r="I19" i="12"/>
  <c r="I20" i="12" s="1"/>
  <c r="F19" i="12"/>
  <c r="F18" i="12"/>
  <c r="F17" i="12"/>
  <c r="F16" i="12"/>
  <c r="F15" i="12"/>
  <c r="I14" i="12"/>
  <c r="I15" i="12" s="1"/>
  <c r="I16" i="12" s="1"/>
  <c r="I17" i="12" s="1"/>
  <c r="F14" i="12"/>
  <c r="F13" i="12"/>
  <c r="F12" i="12"/>
  <c r="F11" i="12"/>
  <c r="I10" i="12"/>
  <c r="I11" i="12" s="1"/>
  <c r="I12" i="12" s="1"/>
  <c r="F10" i="12"/>
  <c r="F9" i="12"/>
  <c r="G9" i="12" s="1"/>
  <c r="F173" i="9"/>
  <c r="F172" i="9"/>
  <c r="F171" i="9"/>
  <c r="F170" i="9"/>
  <c r="F169" i="9"/>
  <c r="F168" i="9"/>
  <c r="F167" i="9"/>
  <c r="F166" i="9"/>
  <c r="G166" i="9" s="1"/>
  <c r="H165" i="9"/>
  <c r="F165" i="9"/>
  <c r="F164" i="9"/>
  <c r="F163" i="9"/>
  <c r="F162" i="9"/>
  <c r="G162" i="9" s="1"/>
  <c r="H162" i="9" s="1"/>
  <c r="F122" i="9"/>
  <c r="I121" i="9"/>
  <c r="I122" i="9" s="1"/>
  <c r="F121" i="9"/>
  <c r="F120" i="9"/>
  <c r="F119" i="9"/>
  <c r="F118" i="9"/>
  <c r="F117" i="9"/>
  <c r="I116" i="9"/>
  <c r="I117" i="9" s="1"/>
  <c r="I118" i="9" s="1"/>
  <c r="I119" i="9" s="1"/>
  <c r="F116" i="9"/>
  <c r="F115" i="9"/>
  <c r="F114" i="9"/>
  <c r="I113" i="9"/>
  <c r="I114" i="9" s="1"/>
  <c r="F113" i="9"/>
  <c r="F112" i="9"/>
  <c r="F111" i="9"/>
  <c r="G111" i="9" s="1"/>
  <c r="F71" i="9"/>
  <c r="F70" i="9"/>
  <c r="F69" i="9"/>
  <c r="F68" i="9"/>
  <c r="F67" i="9"/>
  <c r="F66" i="9"/>
  <c r="F65" i="9"/>
  <c r="F64" i="9"/>
  <c r="F63" i="9"/>
  <c r="F62" i="9"/>
  <c r="F61" i="9"/>
  <c r="F60" i="9"/>
  <c r="G60" i="9" s="1"/>
  <c r="F20" i="9"/>
  <c r="I19" i="9"/>
  <c r="I20" i="9" s="1"/>
  <c r="F19" i="9"/>
  <c r="F18" i="9"/>
  <c r="F17" i="9"/>
  <c r="F16" i="9"/>
  <c r="F15" i="9"/>
  <c r="I14" i="9"/>
  <c r="I15" i="9" s="1"/>
  <c r="I16" i="9" s="1"/>
  <c r="I17" i="9" s="1"/>
  <c r="F14" i="9"/>
  <c r="F13" i="9"/>
  <c r="F12" i="9"/>
  <c r="I11" i="9"/>
  <c r="I12" i="9" s="1"/>
  <c r="F11" i="9"/>
  <c r="F10" i="9"/>
  <c r="F9" i="9"/>
  <c r="G9" i="9" s="1"/>
  <c r="F173" i="7"/>
  <c r="I172" i="7"/>
  <c r="I173" i="7" s="1"/>
  <c r="F172" i="7"/>
  <c r="F171" i="7"/>
  <c r="F170" i="7"/>
  <c r="F169" i="7"/>
  <c r="F168" i="7"/>
  <c r="I167" i="7"/>
  <c r="I168" i="7" s="1"/>
  <c r="I169" i="7" s="1"/>
  <c r="I170" i="7" s="1"/>
  <c r="F167" i="7"/>
  <c r="F166" i="7"/>
  <c r="F165" i="7"/>
  <c r="I164" i="7"/>
  <c r="I165" i="7" s="1"/>
  <c r="F164" i="7"/>
  <c r="F163" i="7"/>
  <c r="F162" i="7"/>
  <c r="G162" i="7" s="1"/>
  <c r="F122" i="7"/>
  <c r="F121" i="7"/>
  <c r="F120" i="7"/>
  <c r="F119" i="7"/>
  <c r="F118" i="7"/>
  <c r="F117" i="7"/>
  <c r="F116" i="7"/>
  <c r="F115" i="7"/>
  <c r="F114" i="7"/>
  <c r="F113" i="7"/>
  <c r="F112" i="7"/>
  <c r="F111" i="7"/>
  <c r="G111" i="7" s="1"/>
  <c r="F71" i="7"/>
  <c r="I70" i="7"/>
  <c r="I71" i="7" s="1"/>
  <c r="F70" i="7"/>
  <c r="F69" i="7"/>
  <c r="F68" i="7"/>
  <c r="F67" i="7"/>
  <c r="F66" i="7"/>
  <c r="I65" i="7"/>
  <c r="I66" i="7" s="1"/>
  <c r="I67" i="7" s="1"/>
  <c r="I68" i="7" s="1"/>
  <c r="F65" i="7"/>
  <c r="F64" i="7"/>
  <c r="F63" i="7"/>
  <c r="F62" i="7"/>
  <c r="I61" i="7"/>
  <c r="I62" i="7" s="1"/>
  <c r="I63" i="7" s="1"/>
  <c r="F61" i="7"/>
  <c r="F60" i="7"/>
  <c r="G60" i="7" s="1"/>
  <c r="F20" i="7"/>
  <c r="I19" i="7"/>
  <c r="I20" i="7" s="1"/>
  <c r="F19" i="7"/>
  <c r="F18" i="7"/>
  <c r="F17" i="7"/>
  <c r="F16" i="7"/>
  <c r="F15" i="7"/>
  <c r="I14" i="7"/>
  <c r="I15" i="7" s="1"/>
  <c r="I16" i="7" s="1"/>
  <c r="I17" i="7" s="1"/>
  <c r="F14" i="7"/>
  <c r="F13" i="7"/>
  <c r="F12" i="7"/>
  <c r="F11" i="7"/>
  <c r="I10" i="7"/>
  <c r="I11" i="7" s="1"/>
  <c r="I12" i="7" s="1"/>
  <c r="F10" i="7"/>
  <c r="F9" i="7"/>
  <c r="G9" i="7" s="1"/>
  <c r="F173" i="10"/>
  <c r="I172" i="10"/>
  <c r="I173" i="10" s="1"/>
  <c r="F172" i="10"/>
  <c r="F171" i="10"/>
  <c r="F170" i="10"/>
  <c r="F169" i="10"/>
  <c r="F168" i="10"/>
  <c r="I167" i="10"/>
  <c r="I168" i="10" s="1"/>
  <c r="I169" i="10" s="1"/>
  <c r="I170" i="10" s="1"/>
  <c r="F167" i="10"/>
  <c r="F166" i="10"/>
  <c r="F165" i="10"/>
  <c r="I164" i="10"/>
  <c r="I165" i="10" s="1"/>
  <c r="F164" i="10"/>
  <c r="F163" i="10"/>
  <c r="F162" i="10"/>
  <c r="G162" i="10" s="1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G111" i="10" s="1"/>
  <c r="F71" i="10"/>
  <c r="I70" i="10"/>
  <c r="I71" i="10" s="1"/>
  <c r="F70" i="10"/>
  <c r="F69" i="10"/>
  <c r="F68" i="10"/>
  <c r="F67" i="10"/>
  <c r="F66" i="10"/>
  <c r="I65" i="10"/>
  <c r="I66" i="10" s="1"/>
  <c r="I67" i="10" s="1"/>
  <c r="I68" i="10" s="1"/>
  <c r="F65" i="10"/>
  <c r="F64" i="10"/>
  <c r="F63" i="10"/>
  <c r="F62" i="10"/>
  <c r="I61" i="10"/>
  <c r="I62" i="10" s="1"/>
  <c r="I63" i="10" s="1"/>
  <c r="F61" i="10"/>
  <c r="F60" i="10"/>
  <c r="G60" i="10" s="1"/>
  <c r="F20" i="10"/>
  <c r="I19" i="10"/>
  <c r="I20" i="10" s="1"/>
  <c r="F19" i="10"/>
  <c r="F18" i="10"/>
  <c r="F17" i="10"/>
  <c r="F16" i="10"/>
  <c r="F15" i="10"/>
  <c r="I14" i="10"/>
  <c r="I15" i="10" s="1"/>
  <c r="I16" i="10" s="1"/>
  <c r="I17" i="10" s="1"/>
  <c r="F14" i="10"/>
  <c r="F13" i="10"/>
  <c r="F12" i="10"/>
  <c r="F11" i="10"/>
  <c r="I10" i="10"/>
  <c r="I11" i="10" s="1"/>
  <c r="I12" i="10" s="1"/>
  <c r="F10" i="10"/>
  <c r="F9" i="10"/>
  <c r="G9" i="10" s="1"/>
  <c r="F173" i="5"/>
  <c r="I172" i="5"/>
  <c r="I173" i="5" s="1"/>
  <c r="F172" i="5"/>
  <c r="F171" i="5"/>
  <c r="F170" i="5"/>
  <c r="F169" i="5"/>
  <c r="F168" i="5"/>
  <c r="I167" i="5"/>
  <c r="I168" i="5" s="1"/>
  <c r="I169" i="5" s="1"/>
  <c r="I170" i="5" s="1"/>
  <c r="F167" i="5"/>
  <c r="F166" i="5"/>
  <c r="F165" i="5"/>
  <c r="I164" i="5"/>
  <c r="I165" i="5" s="1"/>
  <c r="F164" i="5"/>
  <c r="F163" i="5"/>
  <c r="F162" i="5"/>
  <c r="G162" i="5" s="1"/>
  <c r="F122" i="5"/>
  <c r="F121" i="5"/>
  <c r="F120" i="5"/>
  <c r="F119" i="5"/>
  <c r="F118" i="5"/>
  <c r="F117" i="5"/>
  <c r="F116" i="5"/>
  <c r="F115" i="5"/>
  <c r="F114" i="5"/>
  <c r="F113" i="5"/>
  <c r="F112" i="5"/>
  <c r="F111" i="5"/>
  <c r="G111" i="5" s="1"/>
  <c r="H111" i="5" s="1"/>
  <c r="F71" i="5"/>
  <c r="I70" i="5"/>
  <c r="I71" i="5" s="1"/>
  <c r="F70" i="5"/>
  <c r="F69" i="5"/>
  <c r="F68" i="5"/>
  <c r="F67" i="5"/>
  <c r="F66" i="5"/>
  <c r="F65" i="5"/>
  <c r="F64" i="5"/>
  <c r="F63" i="5"/>
  <c r="I62" i="5"/>
  <c r="I63" i="5" s="1"/>
  <c r="I64" i="5" s="1"/>
  <c r="I65" i="5" s="1"/>
  <c r="I66" i="5" s="1"/>
  <c r="I67" i="5" s="1"/>
  <c r="I68" i="5" s="1"/>
  <c r="D62" i="5"/>
  <c r="F62" i="5" s="1"/>
  <c r="F61" i="5"/>
  <c r="F60" i="5"/>
  <c r="G60" i="5" s="1"/>
  <c r="F20" i="5"/>
  <c r="I19" i="5"/>
  <c r="I20" i="5" s="1"/>
  <c r="F19" i="5"/>
  <c r="F18" i="5"/>
  <c r="F17" i="5"/>
  <c r="F16" i="5"/>
  <c r="F15" i="5"/>
  <c r="I14" i="5"/>
  <c r="I15" i="5" s="1"/>
  <c r="I16" i="5" s="1"/>
  <c r="I17" i="5" s="1"/>
  <c r="F14" i="5"/>
  <c r="F13" i="5"/>
  <c r="F12" i="5"/>
  <c r="F11" i="5"/>
  <c r="I10" i="5"/>
  <c r="I11" i="5" s="1"/>
  <c r="I12" i="5" s="1"/>
  <c r="F10" i="5"/>
  <c r="F9" i="5"/>
  <c r="G9" i="5" s="1"/>
  <c r="F173" i="11"/>
  <c r="I172" i="11"/>
  <c r="I173" i="11" s="1"/>
  <c r="F172" i="11"/>
  <c r="F171" i="11"/>
  <c r="F170" i="11"/>
  <c r="F169" i="11"/>
  <c r="F168" i="11"/>
  <c r="I167" i="11"/>
  <c r="I168" i="11" s="1"/>
  <c r="I169" i="11" s="1"/>
  <c r="I170" i="11" s="1"/>
  <c r="F167" i="11"/>
  <c r="F166" i="11"/>
  <c r="F165" i="11"/>
  <c r="I164" i="11"/>
  <c r="I165" i="11" s="1"/>
  <c r="F164" i="11"/>
  <c r="F163" i="11"/>
  <c r="F162" i="11"/>
  <c r="G162" i="11" s="1"/>
  <c r="F122" i="11"/>
  <c r="I121" i="11"/>
  <c r="I122" i="11" s="1"/>
  <c r="F121" i="11"/>
  <c r="F120" i="11"/>
  <c r="F119" i="11"/>
  <c r="F118" i="11"/>
  <c r="F117" i="11"/>
  <c r="I116" i="11"/>
  <c r="I117" i="11" s="1"/>
  <c r="I118" i="11" s="1"/>
  <c r="I119" i="11" s="1"/>
  <c r="F116" i="11"/>
  <c r="F115" i="11"/>
  <c r="F114" i="11"/>
  <c r="I113" i="11"/>
  <c r="I114" i="11" s="1"/>
  <c r="F113" i="11"/>
  <c r="F112" i="11"/>
  <c r="F111" i="11"/>
  <c r="G111" i="11" s="1"/>
  <c r="F71" i="11"/>
  <c r="I70" i="11"/>
  <c r="I71" i="11" s="1"/>
  <c r="F70" i="11"/>
  <c r="F69" i="11"/>
  <c r="F68" i="11"/>
  <c r="F67" i="11"/>
  <c r="F66" i="11"/>
  <c r="I65" i="11"/>
  <c r="I66" i="11" s="1"/>
  <c r="I67" i="11" s="1"/>
  <c r="I68" i="11" s="1"/>
  <c r="F65" i="11"/>
  <c r="F64" i="11"/>
  <c r="F63" i="11"/>
  <c r="F62" i="11"/>
  <c r="I61" i="11"/>
  <c r="I62" i="11" s="1"/>
  <c r="I63" i="11" s="1"/>
  <c r="F61" i="11"/>
  <c r="F60" i="11"/>
  <c r="G60" i="11" s="1"/>
  <c r="F14" i="11"/>
  <c r="F15" i="11"/>
  <c r="F20" i="11"/>
  <c r="I19" i="11"/>
  <c r="I20" i="11" s="1"/>
  <c r="F19" i="11"/>
  <c r="F18" i="11"/>
  <c r="F17" i="11"/>
  <c r="I14" i="11"/>
  <c r="I15" i="11" s="1"/>
  <c r="I16" i="11" s="1"/>
  <c r="I17" i="11" s="1"/>
  <c r="F13" i="11"/>
  <c r="F12" i="11"/>
  <c r="F11" i="11"/>
  <c r="I10" i="11"/>
  <c r="I11" i="11" s="1"/>
  <c r="I12" i="11" s="1"/>
  <c r="F10" i="11"/>
  <c r="F9" i="11"/>
  <c r="G9" i="11" s="1"/>
  <c r="F173" i="4"/>
  <c r="I172" i="4"/>
  <c r="I173" i="4" s="1"/>
  <c r="F172" i="4"/>
  <c r="F171" i="4"/>
  <c r="F170" i="4"/>
  <c r="F169" i="4"/>
  <c r="F168" i="4"/>
  <c r="I167" i="4"/>
  <c r="I168" i="4" s="1"/>
  <c r="I169" i="4" s="1"/>
  <c r="I170" i="4" s="1"/>
  <c r="F167" i="4"/>
  <c r="F166" i="4"/>
  <c r="F165" i="4"/>
  <c r="I164" i="4"/>
  <c r="I165" i="4" s="1"/>
  <c r="F164" i="4"/>
  <c r="F163" i="4"/>
  <c r="F162" i="4"/>
  <c r="G162" i="4" s="1"/>
  <c r="F122" i="4"/>
  <c r="I121" i="4"/>
  <c r="I122" i="4" s="1"/>
  <c r="F121" i="4"/>
  <c r="F120" i="4"/>
  <c r="F119" i="4"/>
  <c r="F118" i="4"/>
  <c r="F117" i="4"/>
  <c r="I116" i="4"/>
  <c r="I117" i="4" s="1"/>
  <c r="I118" i="4" s="1"/>
  <c r="I119" i="4" s="1"/>
  <c r="F116" i="4"/>
  <c r="F115" i="4"/>
  <c r="F114" i="4"/>
  <c r="I113" i="4"/>
  <c r="I114" i="4" s="1"/>
  <c r="F113" i="4"/>
  <c r="F112" i="4"/>
  <c r="F111" i="4"/>
  <c r="G111" i="4" s="1"/>
  <c r="F71" i="4"/>
  <c r="I70" i="4"/>
  <c r="I71" i="4" s="1"/>
  <c r="F70" i="4"/>
  <c r="F69" i="4"/>
  <c r="F68" i="4"/>
  <c r="F67" i="4"/>
  <c r="F66" i="4"/>
  <c r="I65" i="4"/>
  <c r="I66" i="4" s="1"/>
  <c r="I67" i="4" s="1"/>
  <c r="I68" i="4" s="1"/>
  <c r="F65" i="4"/>
  <c r="F64" i="4"/>
  <c r="F63" i="4"/>
  <c r="E62" i="4"/>
  <c r="E11" i="4" s="1"/>
  <c r="D62" i="4"/>
  <c r="I61" i="4"/>
  <c r="I62" i="4" s="1"/>
  <c r="I63" i="4" s="1"/>
  <c r="F61" i="4"/>
  <c r="F60" i="4"/>
  <c r="G60" i="4" s="1"/>
  <c r="F20" i="4"/>
  <c r="I19" i="4"/>
  <c r="I20" i="4" s="1"/>
  <c r="F19" i="4"/>
  <c r="F18" i="4"/>
  <c r="F17" i="4"/>
  <c r="F16" i="4"/>
  <c r="I15" i="4"/>
  <c r="I16" i="4" s="1"/>
  <c r="I17" i="4" s="1"/>
  <c r="F15" i="4"/>
  <c r="F14" i="4"/>
  <c r="F13" i="4"/>
  <c r="F12" i="4"/>
  <c r="D11" i="4"/>
  <c r="I10" i="4"/>
  <c r="I11" i="4" s="1"/>
  <c r="I12" i="4" s="1"/>
  <c r="F10" i="4"/>
  <c r="F9" i="4"/>
  <c r="G9" i="4" s="1"/>
  <c r="F173" i="1"/>
  <c r="I172" i="1"/>
  <c r="I173" i="1" s="1"/>
  <c r="F172" i="1"/>
  <c r="F171" i="1"/>
  <c r="F170" i="1"/>
  <c r="I169" i="1"/>
  <c r="F169" i="1"/>
  <c r="F168" i="1"/>
  <c r="L167" i="1"/>
  <c r="F167" i="1"/>
  <c r="L166" i="1"/>
  <c r="F166" i="1"/>
  <c r="L165" i="1"/>
  <c r="E165" i="1"/>
  <c r="F165" i="1" s="1"/>
  <c r="L164" i="1"/>
  <c r="F164" i="1"/>
  <c r="L163" i="1"/>
  <c r="I163" i="1"/>
  <c r="I164" i="1" s="1"/>
  <c r="I165" i="1" s="1"/>
  <c r="F163" i="1"/>
  <c r="L162" i="1"/>
  <c r="F162" i="1"/>
  <c r="G162" i="1" s="1"/>
  <c r="F122" i="1"/>
  <c r="I121" i="1"/>
  <c r="I122" i="1" s="1"/>
  <c r="F121" i="1"/>
  <c r="F120" i="1"/>
  <c r="F119" i="1"/>
  <c r="I118" i="1"/>
  <c r="F118" i="1"/>
  <c r="F117" i="1"/>
  <c r="L116" i="1"/>
  <c r="F116" i="1"/>
  <c r="L115" i="1"/>
  <c r="F115" i="1"/>
  <c r="L114" i="1"/>
  <c r="E114" i="1"/>
  <c r="F114" i="1" s="1"/>
  <c r="L113" i="1"/>
  <c r="I113" i="1"/>
  <c r="I114" i="1" s="1"/>
  <c r="F113" i="1"/>
  <c r="L112" i="1"/>
  <c r="F112" i="1"/>
  <c r="L111" i="1"/>
  <c r="F111" i="1"/>
  <c r="G111" i="1" s="1"/>
  <c r="F76" i="1"/>
  <c r="F77" i="1"/>
  <c r="F78" i="1"/>
  <c r="F79" i="1"/>
  <c r="F80" i="1"/>
  <c r="F81" i="1"/>
  <c r="F82" i="1"/>
  <c r="F71" i="1"/>
  <c r="I70" i="1"/>
  <c r="I71" i="1" s="1"/>
  <c r="F70" i="1"/>
  <c r="F69" i="1"/>
  <c r="F68" i="1"/>
  <c r="I67" i="1"/>
  <c r="F67" i="1"/>
  <c r="F66" i="1"/>
  <c r="L65" i="1"/>
  <c r="F65" i="1"/>
  <c r="F64" i="1"/>
  <c r="E63" i="1"/>
  <c r="F62" i="1"/>
  <c r="L61" i="1"/>
  <c r="I61" i="1"/>
  <c r="I62" i="1" s="1"/>
  <c r="I63" i="1" s="1"/>
  <c r="F61" i="1"/>
  <c r="L60" i="1"/>
  <c r="F60" i="1"/>
  <c r="G60" i="1" s="1"/>
  <c r="F20" i="1"/>
  <c r="I19" i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F19" i="1"/>
  <c r="F18" i="1"/>
  <c r="F17" i="1"/>
  <c r="I16" i="1"/>
  <c r="F16" i="1"/>
  <c r="F15" i="1"/>
  <c r="L14" i="1"/>
  <c r="F14" i="1"/>
  <c r="L13" i="1"/>
  <c r="F13" i="1"/>
  <c r="L12" i="1"/>
  <c r="E12" i="1"/>
  <c r="F12" i="1" s="1"/>
  <c r="F11" i="1"/>
  <c r="L10" i="1"/>
  <c r="I10" i="1"/>
  <c r="I11" i="1" s="1"/>
  <c r="I12" i="1" s="1"/>
  <c r="F10" i="1"/>
  <c r="L9" i="1"/>
  <c r="F9" i="1"/>
  <c r="G9" i="1" s="1"/>
  <c r="F63" i="1" l="1"/>
  <c r="F11" i="4"/>
  <c r="G10" i="4"/>
  <c r="H10" i="4" s="1"/>
  <c r="G61" i="5"/>
  <c r="G62" i="5" s="1"/>
  <c r="K162" i="1"/>
  <c r="G112" i="9"/>
  <c r="H112" i="9" s="1"/>
  <c r="G163" i="9"/>
  <c r="G164" i="9" s="1"/>
  <c r="H164" i="9" s="1"/>
  <c r="G112" i="5"/>
  <c r="G113" i="5" s="1"/>
  <c r="G163" i="1"/>
  <c r="K163" i="1" s="1"/>
  <c r="G163" i="12"/>
  <c r="H162" i="12"/>
  <c r="G112" i="12"/>
  <c r="H111" i="12"/>
  <c r="G61" i="12"/>
  <c r="H60" i="12"/>
  <c r="H9" i="12"/>
  <c r="G10" i="12"/>
  <c r="H166" i="9"/>
  <c r="G167" i="9"/>
  <c r="H60" i="9"/>
  <c r="G61" i="9"/>
  <c r="G10" i="9"/>
  <c r="H9" i="9"/>
  <c r="G163" i="7"/>
  <c r="H162" i="7"/>
  <c r="H111" i="7"/>
  <c r="G112" i="7"/>
  <c r="G61" i="7"/>
  <c r="H60" i="7"/>
  <c r="G10" i="7"/>
  <c r="H9" i="7"/>
  <c r="G163" i="10"/>
  <c r="H162" i="10"/>
  <c r="H111" i="10"/>
  <c r="G112" i="10"/>
  <c r="G61" i="10"/>
  <c r="H60" i="10"/>
  <c r="G10" i="10"/>
  <c r="H9" i="10"/>
  <c r="G163" i="5"/>
  <c r="H162" i="5"/>
  <c r="H60" i="5"/>
  <c r="G10" i="5"/>
  <c r="H9" i="5"/>
  <c r="H162" i="11"/>
  <c r="G163" i="11"/>
  <c r="G112" i="11"/>
  <c r="H111" i="11"/>
  <c r="G61" i="11"/>
  <c r="H60" i="11"/>
  <c r="G10" i="11"/>
  <c r="H9" i="11"/>
  <c r="G163" i="4"/>
  <c r="H162" i="4"/>
  <c r="G112" i="4"/>
  <c r="H111" i="4"/>
  <c r="G61" i="4"/>
  <c r="H60" i="4"/>
  <c r="F62" i="4"/>
  <c r="H9" i="4"/>
  <c r="K111" i="1"/>
  <c r="G112" i="1"/>
  <c r="K60" i="1"/>
  <c r="H60" i="1"/>
  <c r="G61" i="1"/>
  <c r="G62" i="1" s="1"/>
  <c r="K9" i="1"/>
  <c r="G10" i="1"/>
  <c r="H9" i="1"/>
  <c r="G113" i="9" l="1"/>
  <c r="H113" i="9" s="1"/>
  <c r="H61" i="5"/>
  <c r="G11" i="4"/>
  <c r="H11" i="4" s="1"/>
  <c r="K61" i="1"/>
  <c r="H61" i="1"/>
  <c r="H163" i="9"/>
  <c r="H112" i="5"/>
  <c r="G164" i="1"/>
  <c r="K164" i="1" s="1"/>
  <c r="H163" i="1"/>
  <c r="G164" i="12"/>
  <c r="H163" i="12"/>
  <c r="G113" i="12"/>
  <c r="H112" i="12"/>
  <c r="G62" i="12"/>
  <c r="H61" i="12"/>
  <c r="G11" i="12"/>
  <c r="H10" i="12"/>
  <c r="G168" i="9"/>
  <c r="H167" i="9"/>
  <c r="H61" i="9"/>
  <c r="G62" i="9"/>
  <c r="G11" i="9"/>
  <c r="H10" i="9"/>
  <c r="G164" i="7"/>
  <c r="H163" i="7"/>
  <c r="G113" i="7"/>
  <c r="H112" i="7"/>
  <c r="G62" i="7"/>
  <c r="H61" i="7"/>
  <c r="G11" i="7"/>
  <c r="H10" i="7"/>
  <c r="G164" i="10"/>
  <c r="H163" i="10"/>
  <c r="H112" i="10"/>
  <c r="G113" i="10"/>
  <c r="G62" i="10"/>
  <c r="H61" i="10"/>
  <c r="G11" i="10"/>
  <c r="H10" i="10"/>
  <c r="G164" i="5"/>
  <c r="H163" i="5"/>
  <c r="G114" i="5"/>
  <c r="H113" i="5"/>
  <c r="G63" i="5"/>
  <c r="H62" i="5"/>
  <c r="G11" i="5"/>
  <c r="H10" i="5"/>
  <c r="G164" i="11"/>
  <c r="H163" i="11"/>
  <c r="H112" i="11"/>
  <c r="G113" i="11"/>
  <c r="G62" i="11"/>
  <c r="H61" i="11"/>
  <c r="G11" i="11"/>
  <c r="H10" i="11"/>
  <c r="G164" i="4"/>
  <c r="H163" i="4"/>
  <c r="G113" i="4"/>
  <c r="H112" i="4"/>
  <c r="G62" i="4"/>
  <c r="H61" i="4"/>
  <c r="G113" i="1"/>
  <c r="H112" i="1"/>
  <c r="K112" i="1"/>
  <c r="H62" i="1"/>
  <c r="K62" i="1"/>
  <c r="G63" i="1"/>
  <c r="G11" i="1"/>
  <c r="H10" i="1"/>
  <c r="K10" i="1"/>
  <c r="G114" i="9" l="1"/>
  <c r="G115" i="9" s="1"/>
  <c r="G12" i="4"/>
  <c r="G13" i="4" s="1"/>
  <c r="H164" i="1"/>
  <c r="G165" i="1"/>
  <c r="G166" i="1" s="1"/>
  <c r="H164" i="12"/>
  <c r="G165" i="12"/>
  <c r="H113" i="12"/>
  <c r="G114" i="12"/>
  <c r="H62" i="12"/>
  <c r="G63" i="12"/>
  <c r="G12" i="12"/>
  <c r="H11" i="12"/>
  <c r="G169" i="9"/>
  <c r="H168" i="9"/>
  <c r="G63" i="9"/>
  <c r="H62" i="9"/>
  <c r="H11" i="9"/>
  <c r="G12" i="9"/>
  <c r="H164" i="7"/>
  <c r="G165" i="7"/>
  <c r="G114" i="7"/>
  <c r="H113" i="7"/>
  <c r="H62" i="7"/>
  <c r="G63" i="7"/>
  <c r="H11" i="7"/>
  <c r="G12" i="7"/>
  <c r="H164" i="10"/>
  <c r="G165" i="10"/>
  <c r="G114" i="10"/>
  <c r="H113" i="10"/>
  <c r="H62" i="10"/>
  <c r="G63" i="10"/>
  <c r="H11" i="10"/>
  <c r="G12" i="10"/>
  <c r="H164" i="5"/>
  <c r="G165" i="5"/>
  <c r="G115" i="5"/>
  <c r="H114" i="5"/>
  <c r="G64" i="5"/>
  <c r="H63" i="5"/>
  <c r="H11" i="5"/>
  <c r="G12" i="5"/>
  <c r="G165" i="11"/>
  <c r="H164" i="11"/>
  <c r="G114" i="11"/>
  <c r="H113" i="11"/>
  <c r="H62" i="11"/>
  <c r="G63" i="11"/>
  <c r="H11" i="11"/>
  <c r="G12" i="11"/>
  <c r="H164" i="4"/>
  <c r="G165" i="4"/>
  <c r="H113" i="4"/>
  <c r="G114" i="4"/>
  <c r="H62" i="4"/>
  <c r="G63" i="4"/>
  <c r="K113" i="1"/>
  <c r="H113" i="1"/>
  <c r="G114" i="1"/>
  <c r="G64" i="1"/>
  <c r="K63" i="1"/>
  <c r="H63" i="1"/>
  <c r="K11" i="1"/>
  <c r="H11" i="1"/>
  <c r="G12" i="1"/>
  <c r="H114" i="9" l="1"/>
  <c r="K165" i="1"/>
  <c r="H12" i="4"/>
  <c r="H165" i="1"/>
  <c r="G166" i="12"/>
  <c r="H165" i="12"/>
  <c r="H114" i="12"/>
  <c r="G115" i="12"/>
  <c r="G64" i="12"/>
  <c r="H63" i="12"/>
  <c r="H12" i="12"/>
  <c r="G13" i="12"/>
  <c r="H169" i="9"/>
  <c r="G170" i="9"/>
  <c r="G116" i="9"/>
  <c r="H115" i="9"/>
  <c r="H63" i="9"/>
  <c r="G64" i="9"/>
  <c r="G13" i="9"/>
  <c r="H12" i="9"/>
  <c r="G166" i="7"/>
  <c r="H165" i="7"/>
  <c r="G115" i="7"/>
  <c r="H114" i="7"/>
  <c r="G64" i="7"/>
  <c r="H63" i="7"/>
  <c r="G13" i="7"/>
  <c r="H12" i="7"/>
  <c r="G166" i="10"/>
  <c r="H165" i="10"/>
  <c r="G115" i="10"/>
  <c r="H114" i="10"/>
  <c r="G64" i="10"/>
  <c r="H63" i="10"/>
  <c r="G13" i="10"/>
  <c r="H12" i="10"/>
  <c r="H165" i="5"/>
  <c r="G166" i="5"/>
  <c r="H115" i="5"/>
  <c r="G116" i="5"/>
  <c r="G65" i="5"/>
  <c r="H64" i="5"/>
  <c r="G13" i="5"/>
  <c r="H12" i="5"/>
  <c r="H165" i="11"/>
  <c r="G166" i="11"/>
  <c r="G115" i="11"/>
  <c r="H114" i="11"/>
  <c r="G64" i="11"/>
  <c r="H63" i="11"/>
  <c r="H12" i="11"/>
  <c r="G13" i="11"/>
  <c r="G166" i="4"/>
  <c r="H165" i="4"/>
  <c r="G115" i="4"/>
  <c r="H114" i="4"/>
  <c r="G64" i="4"/>
  <c r="H63" i="4"/>
  <c r="G14" i="4"/>
  <c r="H13" i="4"/>
  <c r="K166" i="1"/>
  <c r="H166" i="1"/>
  <c r="G167" i="1"/>
  <c r="G115" i="1"/>
  <c r="K114" i="1"/>
  <c r="H114" i="1"/>
  <c r="K64" i="1"/>
  <c r="G65" i="1"/>
  <c r="H64" i="1"/>
  <c r="H12" i="1"/>
  <c r="G13" i="1"/>
  <c r="K12" i="1"/>
  <c r="G167" i="12" l="1"/>
  <c r="H166" i="12"/>
  <c r="H115" i="12"/>
  <c r="G116" i="12"/>
  <c r="G65" i="12"/>
  <c r="H64" i="12"/>
  <c r="G14" i="12"/>
  <c r="H13" i="12"/>
  <c r="H170" i="9"/>
  <c r="G171" i="9"/>
  <c r="G117" i="9"/>
  <c r="H116" i="9"/>
  <c r="H64" i="9"/>
  <c r="G65" i="9"/>
  <c r="G14" i="9"/>
  <c r="H13" i="9"/>
  <c r="G167" i="7"/>
  <c r="H166" i="7"/>
  <c r="H115" i="7"/>
  <c r="H116" i="7" s="1"/>
  <c r="H117" i="7" s="1"/>
  <c r="H118" i="7" s="1"/>
  <c r="H119" i="7" s="1"/>
  <c r="H120" i="7" s="1"/>
  <c r="H121" i="7" s="1"/>
  <c r="H122" i="7" s="1"/>
  <c r="H123" i="7" s="1"/>
  <c r="H124" i="7" s="1"/>
  <c r="H125" i="7" s="1"/>
  <c r="H126" i="7" s="1"/>
  <c r="H127" i="7" s="1"/>
  <c r="H128" i="7" s="1"/>
  <c r="H129" i="7" s="1"/>
  <c r="H130" i="7" s="1"/>
  <c r="G116" i="7"/>
  <c r="G117" i="7" s="1"/>
  <c r="G118" i="7" s="1"/>
  <c r="G119" i="7" s="1"/>
  <c r="G120" i="7" s="1"/>
  <c r="G121" i="7" s="1"/>
  <c r="G122" i="7" s="1"/>
  <c r="G123" i="7" s="1"/>
  <c r="G124" i="7" s="1"/>
  <c r="G125" i="7" s="1"/>
  <c r="G126" i="7" s="1"/>
  <c r="G65" i="7"/>
  <c r="H64" i="7"/>
  <c r="G14" i="7"/>
  <c r="H13" i="7"/>
  <c r="G167" i="10"/>
  <c r="H166" i="10"/>
  <c r="H115" i="10"/>
  <c r="G116" i="10"/>
  <c r="G65" i="10"/>
  <c r="H64" i="10"/>
  <c r="G14" i="10"/>
  <c r="H13" i="10"/>
  <c r="G167" i="5"/>
  <c r="H166" i="5"/>
  <c r="H116" i="5"/>
  <c r="G117" i="5"/>
  <c r="G66" i="5"/>
  <c r="H65" i="5"/>
  <c r="H13" i="5"/>
  <c r="G14" i="5"/>
  <c r="G167" i="11"/>
  <c r="H166" i="11"/>
  <c r="G116" i="11"/>
  <c r="H115" i="11"/>
  <c r="G65" i="11"/>
  <c r="H64" i="11"/>
  <c r="G14" i="11"/>
  <c r="H13" i="11"/>
  <c r="G167" i="4"/>
  <c r="H166" i="4"/>
  <c r="G116" i="4"/>
  <c r="H115" i="4"/>
  <c r="G65" i="4"/>
  <c r="H64" i="4"/>
  <c r="G15" i="4"/>
  <c r="H14" i="4"/>
  <c r="G168" i="1"/>
  <c r="H167" i="1"/>
  <c r="K167" i="1"/>
  <c r="G116" i="1"/>
  <c r="K115" i="1"/>
  <c r="H115" i="1"/>
  <c r="H65" i="1"/>
  <c r="G66" i="1"/>
  <c r="K65" i="1"/>
  <c r="H13" i="1"/>
  <c r="K13" i="1"/>
  <c r="G14" i="1"/>
  <c r="G168" i="12" l="1"/>
  <c r="H167" i="12"/>
  <c r="G117" i="12"/>
  <c r="H116" i="12"/>
  <c r="G66" i="12"/>
  <c r="H65" i="12"/>
  <c r="G15" i="12"/>
  <c r="H14" i="12"/>
  <c r="G172" i="9"/>
  <c r="H171" i="9"/>
  <c r="G118" i="9"/>
  <c r="H117" i="9"/>
  <c r="G66" i="9"/>
  <c r="H65" i="9"/>
  <c r="G15" i="9"/>
  <c r="H14" i="9"/>
  <c r="G168" i="7"/>
  <c r="H167" i="7"/>
  <c r="G66" i="7"/>
  <c r="H65" i="7"/>
  <c r="G15" i="7"/>
  <c r="H14" i="7"/>
  <c r="G168" i="10"/>
  <c r="H167" i="10"/>
  <c r="H116" i="10"/>
  <c r="G117" i="10"/>
  <c r="G66" i="10"/>
  <c r="H65" i="10"/>
  <c r="G15" i="10"/>
  <c r="H14" i="10"/>
  <c r="G168" i="5"/>
  <c r="H167" i="5"/>
  <c r="G118" i="5"/>
  <c r="H117" i="5"/>
  <c r="H66" i="5"/>
  <c r="G67" i="5"/>
  <c r="G15" i="5"/>
  <c r="H14" i="5"/>
  <c r="G168" i="11"/>
  <c r="H167" i="11"/>
  <c r="G117" i="11"/>
  <c r="H116" i="11"/>
  <c r="G66" i="11"/>
  <c r="H65" i="11"/>
  <c r="H14" i="11"/>
  <c r="G15" i="11"/>
  <c r="H167" i="4"/>
  <c r="G168" i="4"/>
  <c r="G117" i="4"/>
  <c r="H116" i="4"/>
  <c r="G66" i="4"/>
  <c r="H65" i="4"/>
  <c r="G16" i="4"/>
  <c r="H15" i="4"/>
  <c r="G169" i="1"/>
  <c r="K168" i="1"/>
  <c r="H168" i="1"/>
  <c r="K116" i="1"/>
  <c r="H116" i="1"/>
  <c r="G117" i="1"/>
  <c r="G67" i="1"/>
  <c r="K66" i="1"/>
  <c r="H66" i="1"/>
  <c r="K14" i="1"/>
  <c r="H14" i="1"/>
  <c r="G15" i="1"/>
  <c r="H168" i="12" l="1"/>
  <c r="G169" i="12"/>
  <c r="G118" i="12"/>
  <c r="H117" i="12"/>
  <c r="G67" i="12"/>
  <c r="H66" i="12"/>
  <c r="G16" i="12"/>
  <c r="H15" i="12"/>
  <c r="G173" i="9"/>
  <c r="G174" i="9" s="1"/>
  <c r="G175" i="9" s="1"/>
  <c r="G176" i="9" s="1"/>
  <c r="H172" i="9"/>
  <c r="G119" i="9"/>
  <c r="H118" i="9"/>
  <c r="G67" i="9"/>
  <c r="H66" i="9"/>
  <c r="G16" i="9"/>
  <c r="H15" i="9"/>
  <c r="G169" i="7"/>
  <c r="H168" i="7"/>
  <c r="G67" i="7"/>
  <c r="H66" i="7"/>
  <c r="G16" i="7"/>
  <c r="H15" i="7"/>
  <c r="H168" i="10"/>
  <c r="G169" i="10"/>
  <c r="G118" i="10"/>
  <c r="H117" i="10"/>
  <c r="G67" i="10"/>
  <c r="H66" i="10"/>
  <c r="G16" i="10"/>
  <c r="H15" i="10"/>
  <c r="G169" i="5"/>
  <c r="H168" i="5"/>
  <c r="H118" i="5"/>
  <c r="G119" i="5"/>
  <c r="H67" i="5"/>
  <c r="G68" i="5"/>
  <c r="G16" i="5"/>
  <c r="H15" i="5"/>
  <c r="G169" i="11"/>
  <c r="H168" i="11"/>
  <c r="G118" i="11"/>
  <c r="H117" i="11"/>
  <c r="G67" i="11"/>
  <c r="H66" i="11"/>
  <c r="G16" i="11"/>
  <c r="H15" i="11"/>
  <c r="G169" i="4"/>
  <c r="H168" i="4"/>
  <c r="G118" i="4"/>
  <c r="H117" i="4"/>
  <c r="G67" i="4"/>
  <c r="H66" i="4"/>
  <c r="G17" i="4"/>
  <c r="H16" i="4"/>
  <c r="K169" i="1"/>
  <c r="G170" i="1"/>
  <c r="H169" i="1"/>
  <c r="G118" i="1"/>
  <c r="K117" i="1"/>
  <c r="H117" i="1"/>
  <c r="H67" i="1"/>
  <c r="G68" i="1"/>
  <c r="K67" i="1"/>
  <c r="G16" i="1"/>
  <c r="K15" i="1"/>
  <c r="H15" i="1"/>
  <c r="H176" i="9" l="1"/>
  <c r="G177" i="9"/>
  <c r="H177" i="9" s="1"/>
  <c r="H175" i="9"/>
  <c r="H174" i="9"/>
  <c r="H169" i="12"/>
  <c r="G170" i="12"/>
  <c r="G119" i="12"/>
  <c r="H118" i="12"/>
  <c r="G68" i="12"/>
  <c r="H67" i="12"/>
  <c r="G17" i="12"/>
  <c r="H16" i="12"/>
  <c r="H173" i="9"/>
  <c r="G120" i="9"/>
  <c r="H119" i="9"/>
  <c r="H67" i="9"/>
  <c r="G68" i="9"/>
  <c r="G17" i="9"/>
  <c r="H16" i="9"/>
  <c r="G170" i="7"/>
  <c r="H169" i="7"/>
  <c r="G68" i="7"/>
  <c r="H67" i="7"/>
  <c r="G17" i="7"/>
  <c r="H16" i="7"/>
  <c r="G170" i="10"/>
  <c r="H169" i="10"/>
  <c r="G119" i="10"/>
  <c r="H118" i="10"/>
  <c r="G68" i="10"/>
  <c r="H67" i="10"/>
  <c r="G17" i="10"/>
  <c r="H16" i="10"/>
  <c r="H169" i="5"/>
  <c r="G170" i="5"/>
  <c r="H119" i="5"/>
  <c r="G120" i="5"/>
  <c r="G69" i="5"/>
  <c r="H68" i="5"/>
  <c r="G17" i="5"/>
  <c r="H16" i="5"/>
  <c r="G170" i="11"/>
  <c r="H169" i="11"/>
  <c r="G119" i="11"/>
  <c r="H118" i="11"/>
  <c r="G68" i="11"/>
  <c r="H67" i="11"/>
  <c r="G17" i="11"/>
  <c r="H16" i="11"/>
  <c r="G170" i="4"/>
  <c r="H169" i="4"/>
  <c r="G119" i="4"/>
  <c r="H118" i="4"/>
  <c r="G68" i="4"/>
  <c r="H67" i="4"/>
  <c r="G18" i="4"/>
  <c r="H17" i="4"/>
  <c r="G171" i="1"/>
  <c r="K170" i="1"/>
  <c r="H170" i="1"/>
  <c r="H118" i="1"/>
  <c r="G119" i="1"/>
  <c r="K118" i="1"/>
  <c r="G69" i="1"/>
  <c r="K68" i="1"/>
  <c r="H68" i="1"/>
  <c r="H16" i="1"/>
  <c r="K16" i="1"/>
  <c r="G17" i="1"/>
  <c r="G171" i="12" l="1"/>
  <c r="H170" i="12"/>
  <c r="G120" i="12"/>
  <c r="H119" i="12"/>
  <c r="G69" i="12"/>
  <c r="H68" i="12"/>
  <c r="G18" i="12"/>
  <c r="H17" i="12"/>
  <c r="G121" i="9"/>
  <c r="H120" i="9"/>
  <c r="H68" i="9"/>
  <c r="G69" i="9"/>
  <c r="G18" i="9"/>
  <c r="H17" i="9"/>
  <c r="G171" i="7"/>
  <c r="H170" i="7"/>
  <c r="G69" i="7"/>
  <c r="H68" i="7"/>
  <c r="G18" i="7"/>
  <c r="H17" i="7"/>
  <c r="G171" i="10"/>
  <c r="H170" i="10"/>
  <c r="H119" i="10"/>
  <c r="G120" i="10"/>
  <c r="G69" i="10"/>
  <c r="H68" i="10"/>
  <c r="G18" i="10"/>
  <c r="H17" i="10"/>
  <c r="G171" i="5"/>
  <c r="H170" i="5"/>
  <c r="H120" i="5"/>
  <c r="G121" i="5"/>
  <c r="G70" i="5"/>
  <c r="H69" i="5"/>
  <c r="G18" i="5"/>
  <c r="H17" i="5"/>
  <c r="G171" i="11"/>
  <c r="H170" i="11"/>
  <c r="G120" i="11"/>
  <c r="H119" i="11"/>
  <c r="G69" i="11"/>
  <c r="H68" i="11"/>
  <c r="G18" i="11"/>
  <c r="H17" i="11"/>
  <c r="H170" i="4"/>
  <c r="G171" i="4"/>
  <c r="G120" i="4"/>
  <c r="H119" i="4"/>
  <c r="G69" i="4"/>
  <c r="H68" i="4"/>
  <c r="G19" i="4"/>
  <c r="H18" i="4"/>
  <c r="K171" i="1"/>
  <c r="H171" i="1"/>
  <c r="G172" i="1"/>
  <c r="G120" i="1"/>
  <c r="K119" i="1"/>
  <c r="H119" i="1"/>
  <c r="G70" i="1"/>
  <c r="K69" i="1"/>
  <c r="H69" i="1"/>
  <c r="H17" i="1"/>
  <c r="G18" i="1"/>
  <c r="H18" i="1" s="1"/>
  <c r="K17" i="1"/>
  <c r="G172" i="12" l="1"/>
  <c r="H171" i="12"/>
  <c r="G121" i="12"/>
  <c r="H120" i="12"/>
  <c r="H69" i="12"/>
  <c r="G70" i="12"/>
  <c r="G19" i="12"/>
  <c r="H18" i="12"/>
  <c r="G122" i="9"/>
  <c r="G123" i="9" s="1"/>
  <c r="G124" i="9" s="1"/>
  <c r="G125" i="9" s="1"/>
  <c r="H121" i="9"/>
  <c r="H69" i="9"/>
  <c r="G70" i="9"/>
  <c r="G19" i="9"/>
  <c r="H18" i="9"/>
  <c r="G172" i="7"/>
  <c r="H171" i="7"/>
  <c r="G70" i="7"/>
  <c r="H69" i="7"/>
  <c r="G19" i="7"/>
  <c r="H18" i="7"/>
  <c r="G172" i="10"/>
  <c r="H171" i="10"/>
  <c r="G121" i="10"/>
  <c r="H120" i="10"/>
  <c r="G70" i="10"/>
  <c r="H69" i="10"/>
  <c r="G19" i="10"/>
  <c r="H18" i="10"/>
  <c r="G172" i="5"/>
  <c r="H171" i="5"/>
  <c r="G122" i="5"/>
  <c r="G123" i="5" s="1"/>
  <c r="G124" i="5" s="1"/>
  <c r="G125" i="5" s="1"/>
  <c r="H121" i="5"/>
  <c r="H70" i="5"/>
  <c r="G71" i="5"/>
  <c r="G72" i="5" s="1"/>
  <c r="G73" i="5" s="1"/>
  <c r="G74" i="5" s="1"/>
  <c r="G19" i="5"/>
  <c r="H18" i="5"/>
  <c r="G172" i="11"/>
  <c r="H171" i="11"/>
  <c r="G121" i="11"/>
  <c r="H120" i="11"/>
  <c r="G70" i="11"/>
  <c r="H69" i="11"/>
  <c r="H18" i="11"/>
  <c r="G19" i="11"/>
  <c r="G172" i="4"/>
  <c r="H171" i="4"/>
  <c r="G121" i="4"/>
  <c r="H120" i="4"/>
  <c r="G70" i="4"/>
  <c r="H69" i="4"/>
  <c r="G20" i="4"/>
  <c r="G21" i="4" s="1"/>
  <c r="G22" i="4" s="1"/>
  <c r="G23" i="4" s="1"/>
  <c r="H19" i="4"/>
  <c r="K172" i="1"/>
  <c r="H172" i="1"/>
  <c r="G173" i="1"/>
  <c r="G121" i="1"/>
  <c r="K120" i="1"/>
  <c r="H120" i="1"/>
  <c r="H70" i="1"/>
  <c r="G71" i="1"/>
  <c r="G72" i="1" s="1"/>
  <c r="G73" i="1" s="1"/>
  <c r="G74" i="1" s="1"/>
  <c r="K70" i="1"/>
  <c r="G19" i="1"/>
  <c r="K18" i="1"/>
  <c r="G174" i="1" l="1"/>
  <c r="K173" i="1"/>
  <c r="G75" i="1"/>
  <c r="H74" i="1"/>
  <c r="K74" i="1"/>
  <c r="G75" i="5"/>
  <c r="H75" i="5" s="1"/>
  <c r="H74" i="5"/>
  <c r="G126" i="9"/>
  <c r="H126" i="9" s="1"/>
  <c r="H125" i="9"/>
  <c r="G126" i="5"/>
  <c r="H126" i="5" s="1"/>
  <c r="H125" i="5"/>
  <c r="G24" i="4"/>
  <c r="H24" i="4" s="1"/>
  <c r="H23" i="4"/>
  <c r="H124" i="9"/>
  <c r="H73" i="5"/>
  <c r="H124" i="5"/>
  <c r="H22" i="4"/>
  <c r="K73" i="1"/>
  <c r="H73" i="1"/>
  <c r="H123" i="9"/>
  <c r="H123" i="5"/>
  <c r="H72" i="5"/>
  <c r="H21" i="4"/>
  <c r="K72" i="1"/>
  <c r="H72" i="1"/>
  <c r="H172" i="12"/>
  <c r="G173" i="12"/>
  <c r="G174" i="12" s="1"/>
  <c r="G175" i="12" s="1"/>
  <c r="G176" i="12" s="1"/>
  <c r="H121" i="12"/>
  <c r="G122" i="12"/>
  <c r="G123" i="12" s="1"/>
  <c r="G124" i="12" s="1"/>
  <c r="G125" i="12" s="1"/>
  <c r="G71" i="12"/>
  <c r="G72" i="12" s="1"/>
  <c r="G73" i="12" s="1"/>
  <c r="G74" i="12" s="1"/>
  <c r="H70" i="12"/>
  <c r="H19" i="12"/>
  <c r="G20" i="12"/>
  <c r="G21" i="12" s="1"/>
  <c r="G22" i="12" s="1"/>
  <c r="G23" i="12" s="1"/>
  <c r="H122" i="9"/>
  <c r="G71" i="9"/>
  <c r="G72" i="9" s="1"/>
  <c r="G73" i="9" s="1"/>
  <c r="G74" i="9" s="1"/>
  <c r="H70" i="9"/>
  <c r="G20" i="9"/>
  <c r="G21" i="9" s="1"/>
  <c r="G22" i="9" s="1"/>
  <c r="G23" i="9" s="1"/>
  <c r="H19" i="9"/>
  <c r="G173" i="7"/>
  <c r="G174" i="7" s="1"/>
  <c r="G175" i="7" s="1"/>
  <c r="G176" i="7" s="1"/>
  <c r="H172" i="7"/>
  <c r="G71" i="7"/>
  <c r="G72" i="7" s="1"/>
  <c r="G73" i="7" s="1"/>
  <c r="G74" i="7" s="1"/>
  <c r="H70" i="7"/>
  <c r="G20" i="7"/>
  <c r="G21" i="7" s="1"/>
  <c r="G22" i="7" s="1"/>
  <c r="G23" i="7" s="1"/>
  <c r="H19" i="7"/>
  <c r="G173" i="10"/>
  <c r="G174" i="10" s="1"/>
  <c r="G175" i="10" s="1"/>
  <c r="G176" i="10" s="1"/>
  <c r="H172" i="10"/>
  <c r="G122" i="10"/>
  <c r="G123" i="10" s="1"/>
  <c r="G124" i="10" s="1"/>
  <c r="G125" i="10" s="1"/>
  <c r="H121" i="10"/>
  <c r="H70" i="10"/>
  <c r="G71" i="10"/>
  <c r="G72" i="10" s="1"/>
  <c r="G73" i="10" s="1"/>
  <c r="G74" i="10" s="1"/>
  <c r="G20" i="10"/>
  <c r="G21" i="10" s="1"/>
  <c r="G22" i="10" s="1"/>
  <c r="G23" i="10" s="1"/>
  <c r="H19" i="10"/>
  <c r="G173" i="5"/>
  <c r="G174" i="5" s="1"/>
  <c r="G175" i="5" s="1"/>
  <c r="G176" i="5" s="1"/>
  <c r="H172" i="5"/>
  <c r="H122" i="5"/>
  <c r="H71" i="5"/>
  <c r="G20" i="5"/>
  <c r="G21" i="5" s="1"/>
  <c r="G22" i="5" s="1"/>
  <c r="G23" i="5" s="1"/>
  <c r="H19" i="5"/>
  <c r="H172" i="11"/>
  <c r="G173" i="11"/>
  <c r="G174" i="11" s="1"/>
  <c r="G175" i="11" s="1"/>
  <c r="G176" i="11" s="1"/>
  <c r="G122" i="11"/>
  <c r="G123" i="11" s="1"/>
  <c r="G124" i="11" s="1"/>
  <c r="G125" i="11" s="1"/>
  <c r="H121" i="11"/>
  <c r="G71" i="11"/>
  <c r="G72" i="11" s="1"/>
  <c r="G73" i="11" s="1"/>
  <c r="G74" i="11" s="1"/>
  <c r="H70" i="11"/>
  <c r="H19" i="11"/>
  <c r="G20" i="11"/>
  <c r="G21" i="11" s="1"/>
  <c r="G22" i="11" s="1"/>
  <c r="G23" i="11" s="1"/>
  <c r="G173" i="4"/>
  <c r="G174" i="4" s="1"/>
  <c r="G175" i="4" s="1"/>
  <c r="G176" i="4" s="1"/>
  <c r="H172" i="4"/>
  <c r="G122" i="4"/>
  <c r="G123" i="4" s="1"/>
  <c r="G124" i="4" s="1"/>
  <c r="G125" i="4" s="1"/>
  <c r="H121" i="4"/>
  <c r="G71" i="4"/>
  <c r="G72" i="4" s="1"/>
  <c r="G73" i="4" s="1"/>
  <c r="G74" i="4" s="1"/>
  <c r="H70" i="4"/>
  <c r="H20" i="4"/>
  <c r="H173" i="1"/>
  <c r="K121" i="1"/>
  <c r="H121" i="1"/>
  <c r="G122" i="1"/>
  <c r="G123" i="1" s="1"/>
  <c r="G124" i="1" s="1"/>
  <c r="G125" i="1" s="1"/>
  <c r="K71" i="1"/>
  <c r="H71" i="1"/>
  <c r="H19" i="1"/>
  <c r="K19" i="1"/>
  <c r="G20" i="1"/>
  <c r="G21" i="1" s="1"/>
  <c r="G22" i="1" s="1"/>
  <c r="G23" i="1" s="1"/>
  <c r="G175" i="1" l="1"/>
  <c r="K174" i="1"/>
  <c r="H23" i="5"/>
  <c r="G24" i="5"/>
  <c r="H24" i="5" s="1"/>
  <c r="H23" i="7"/>
  <c r="G24" i="7"/>
  <c r="H24" i="7" s="1"/>
  <c r="G24" i="11"/>
  <c r="H24" i="11" s="1"/>
  <c r="H23" i="11"/>
  <c r="H176" i="10"/>
  <c r="G177" i="10"/>
  <c r="H177" i="10" s="1"/>
  <c r="G75" i="11"/>
  <c r="H75" i="11" s="1"/>
  <c r="H74" i="11"/>
  <c r="K75" i="1"/>
  <c r="H75" i="1"/>
  <c r="G177" i="4"/>
  <c r="H177" i="4" s="1"/>
  <c r="H176" i="4"/>
  <c r="G126" i="1"/>
  <c r="H125" i="1"/>
  <c r="K125" i="1"/>
  <c r="G75" i="12"/>
  <c r="H75" i="12" s="1"/>
  <c r="H74" i="12"/>
  <c r="G177" i="5"/>
  <c r="H177" i="5" s="1"/>
  <c r="H176" i="5"/>
  <c r="H125" i="12"/>
  <c r="G126" i="12"/>
  <c r="H126" i="12" s="1"/>
  <c r="G177" i="7"/>
  <c r="H177" i="7" s="1"/>
  <c r="H176" i="7"/>
  <c r="H74" i="10"/>
  <c r="G75" i="10"/>
  <c r="H75" i="10" s="1"/>
  <c r="G126" i="11"/>
  <c r="H126" i="11" s="1"/>
  <c r="H125" i="11"/>
  <c r="H23" i="9"/>
  <c r="G24" i="9"/>
  <c r="H24" i="9" s="1"/>
  <c r="H176" i="12"/>
  <c r="G177" i="12"/>
  <c r="H177" i="12" s="1"/>
  <c r="H176" i="11"/>
  <c r="G177" i="11"/>
  <c r="H177" i="11" s="1"/>
  <c r="G126" i="4"/>
  <c r="H126" i="4" s="1"/>
  <c r="H125" i="4"/>
  <c r="G24" i="12"/>
  <c r="H24" i="12" s="1"/>
  <c r="H23" i="12"/>
  <c r="G75" i="7"/>
  <c r="H75" i="7" s="1"/>
  <c r="H74" i="7"/>
  <c r="G24" i="10"/>
  <c r="H24" i="10" s="1"/>
  <c r="H23" i="10"/>
  <c r="H23" i="1"/>
  <c r="K23" i="1"/>
  <c r="G24" i="1"/>
  <c r="G75" i="4"/>
  <c r="H75" i="4" s="1"/>
  <c r="H74" i="4"/>
  <c r="G126" i="10"/>
  <c r="H126" i="10" s="1"/>
  <c r="H125" i="10"/>
  <c r="H74" i="9"/>
  <c r="G75" i="9"/>
  <c r="H75" i="9" s="1"/>
  <c r="H22" i="12"/>
  <c r="H73" i="12"/>
  <c r="H124" i="12"/>
  <c r="H175" i="12"/>
  <c r="H22" i="9"/>
  <c r="H73" i="9"/>
  <c r="H22" i="7"/>
  <c r="H73" i="7"/>
  <c r="H175" i="7"/>
  <c r="H73" i="10"/>
  <c r="H124" i="10"/>
  <c r="H175" i="10"/>
  <c r="H22" i="10"/>
  <c r="H175" i="5"/>
  <c r="H22" i="5"/>
  <c r="H124" i="11"/>
  <c r="H175" i="11"/>
  <c r="H22" i="11"/>
  <c r="H73" i="11"/>
  <c r="H73" i="4"/>
  <c r="H124" i="4"/>
  <c r="H175" i="4"/>
  <c r="K22" i="1"/>
  <c r="H22" i="1"/>
  <c r="K124" i="1"/>
  <c r="H124" i="1"/>
  <c r="H72" i="12"/>
  <c r="H123" i="12"/>
  <c r="H174" i="12"/>
  <c r="H21" i="12"/>
  <c r="H72" i="9"/>
  <c r="H21" i="9"/>
  <c r="H174" i="7"/>
  <c r="H21" i="7"/>
  <c r="H72" i="7"/>
  <c r="H21" i="10"/>
  <c r="H72" i="10"/>
  <c r="H123" i="10"/>
  <c r="H174" i="10"/>
  <c r="H174" i="5"/>
  <c r="H21" i="5"/>
  <c r="H21" i="11"/>
  <c r="H72" i="11"/>
  <c r="H123" i="11"/>
  <c r="H174" i="11"/>
  <c r="H174" i="4"/>
  <c r="H72" i="4"/>
  <c r="H123" i="4"/>
  <c r="K123" i="1"/>
  <c r="H123" i="1"/>
  <c r="H21" i="1"/>
  <c r="K21" i="1"/>
  <c r="H173" i="12"/>
  <c r="H122" i="12"/>
  <c r="H71" i="12"/>
  <c r="H20" i="12"/>
  <c r="H71" i="9"/>
  <c r="H20" i="9"/>
  <c r="H173" i="7"/>
  <c r="H71" i="7"/>
  <c r="H20" i="7"/>
  <c r="H173" i="10"/>
  <c r="H122" i="10"/>
  <c r="H71" i="10"/>
  <c r="H20" i="10"/>
  <c r="H173" i="5"/>
  <c r="H20" i="5"/>
  <c r="H173" i="11"/>
  <c r="H122" i="11"/>
  <c r="H71" i="11"/>
  <c r="H20" i="11"/>
  <c r="H173" i="4"/>
  <c r="H122" i="4"/>
  <c r="H71" i="4"/>
  <c r="K122" i="1"/>
  <c r="H122" i="1"/>
  <c r="K20" i="1"/>
  <c r="H20" i="1"/>
  <c r="G176" i="1" l="1"/>
  <c r="K175" i="1"/>
  <c r="H175" i="1"/>
  <c r="G25" i="1"/>
  <c r="H24" i="1"/>
  <c r="K24" i="1"/>
  <c r="K126" i="1"/>
  <c r="H126" i="1"/>
  <c r="G76" i="1"/>
  <c r="K76" i="1" s="1"/>
  <c r="K176" i="1" l="1"/>
  <c r="H176" i="1"/>
  <c r="G177" i="1"/>
  <c r="H25" i="1"/>
  <c r="G26" i="1"/>
  <c r="K25" i="1"/>
  <c r="H76" i="1"/>
  <c r="G77" i="1"/>
  <c r="K77" i="1" s="1"/>
  <c r="K177" i="1" l="1"/>
  <c r="H177" i="1"/>
  <c r="K26" i="1"/>
  <c r="H26" i="1"/>
  <c r="H77" i="1"/>
  <c r="G78" i="1"/>
  <c r="K78" i="1" l="1"/>
  <c r="H78" i="1"/>
  <c r="G79" i="1"/>
  <c r="K79" i="1" s="1"/>
  <c r="G80" i="1" l="1"/>
  <c r="H79" i="1"/>
  <c r="K80" i="1" l="1"/>
  <c r="G81" i="1"/>
  <c r="K81" i="1" s="1"/>
  <c r="H80" i="1"/>
  <c r="G82" i="1" l="1"/>
  <c r="G83" i="1" s="1"/>
  <c r="G84" i="1" s="1"/>
  <c r="G85" i="1" s="1"/>
  <c r="H81" i="1"/>
  <c r="H85" i="1" l="1"/>
  <c r="K85" i="1"/>
  <c r="G86" i="1"/>
  <c r="K84" i="1"/>
  <c r="H84" i="1"/>
  <c r="K83" i="1"/>
  <c r="H83" i="1"/>
  <c r="H82" i="1"/>
  <c r="K82" i="1"/>
  <c r="F184" i="1"/>
  <c r="F183" i="1"/>
  <c r="F182" i="1"/>
  <c r="F181" i="1"/>
  <c r="F180" i="1"/>
  <c r="F179" i="1"/>
  <c r="F178" i="1"/>
  <c r="F133" i="1"/>
  <c r="F132" i="1"/>
  <c r="F131" i="1"/>
  <c r="F130" i="1"/>
  <c r="F129" i="1"/>
  <c r="F128" i="1"/>
  <c r="F127" i="1"/>
  <c r="F179" i="12"/>
  <c r="F178" i="12"/>
  <c r="F128" i="12"/>
  <c r="F127" i="12"/>
  <c r="F77" i="12"/>
  <c r="F76" i="12"/>
  <c r="F30" i="12"/>
  <c r="F29" i="12"/>
  <c r="F28" i="12"/>
  <c r="F27" i="12"/>
  <c r="F26" i="12"/>
  <c r="F25" i="12"/>
  <c r="F179" i="9"/>
  <c r="F178" i="9"/>
  <c r="F128" i="9"/>
  <c r="F127" i="9"/>
  <c r="F76" i="9"/>
  <c r="F31" i="9"/>
  <c r="F30" i="9"/>
  <c r="F29" i="9"/>
  <c r="F28" i="9"/>
  <c r="F27" i="9"/>
  <c r="F26" i="9"/>
  <c r="F25" i="9"/>
  <c r="F181" i="11"/>
  <c r="F180" i="11"/>
  <c r="F179" i="11"/>
  <c r="F178" i="11"/>
  <c r="F130" i="11"/>
  <c r="F129" i="11"/>
  <c r="F128" i="11"/>
  <c r="F127" i="11"/>
  <c r="F82" i="11"/>
  <c r="F79" i="11"/>
  <c r="F78" i="11"/>
  <c r="F77" i="11"/>
  <c r="F76" i="11"/>
  <c r="F31" i="11"/>
  <c r="F30" i="11"/>
  <c r="F29" i="11"/>
  <c r="F28" i="11"/>
  <c r="F27" i="11"/>
  <c r="F26" i="11"/>
  <c r="F25" i="11"/>
  <c r="F180" i="10"/>
  <c r="F179" i="10"/>
  <c r="F178" i="10"/>
  <c r="F129" i="10"/>
  <c r="F128" i="10"/>
  <c r="F127" i="10"/>
  <c r="F78" i="10"/>
  <c r="F77" i="10"/>
  <c r="F76" i="10"/>
  <c r="F30" i="10"/>
  <c r="F29" i="10"/>
  <c r="F28" i="10"/>
  <c r="F27" i="10"/>
  <c r="F26" i="10"/>
  <c r="F25" i="10"/>
  <c r="F181" i="5"/>
  <c r="F180" i="5"/>
  <c r="F179" i="5"/>
  <c r="F178" i="5"/>
  <c r="F130" i="5"/>
  <c r="F129" i="5"/>
  <c r="F128" i="5"/>
  <c r="F127" i="5"/>
  <c r="F79" i="5"/>
  <c r="F78" i="5"/>
  <c r="F77" i="5"/>
  <c r="F76" i="5"/>
  <c r="F30" i="5"/>
  <c r="F29" i="5"/>
  <c r="F28" i="5"/>
  <c r="F27" i="5"/>
  <c r="F26" i="5"/>
  <c r="F25" i="5"/>
  <c r="F181" i="7"/>
  <c r="F180" i="7"/>
  <c r="F179" i="7"/>
  <c r="F178" i="7"/>
  <c r="F130" i="7"/>
  <c r="F129" i="7"/>
  <c r="F128" i="7"/>
  <c r="F127" i="7"/>
  <c r="F79" i="7"/>
  <c r="F78" i="7"/>
  <c r="F77" i="7"/>
  <c r="F76" i="7"/>
  <c r="F31" i="7"/>
  <c r="F30" i="7"/>
  <c r="F29" i="7"/>
  <c r="F28" i="7"/>
  <c r="F27" i="7"/>
  <c r="F26" i="7"/>
  <c r="F25" i="7"/>
  <c r="G87" i="1" l="1"/>
  <c r="H86" i="1"/>
  <c r="K86" i="1"/>
  <c r="G178" i="9"/>
  <c r="F184" i="4"/>
  <c r="F183" i="4"/>
  <c r="F181" i="4"/>
  <c r="F180" i="4"/>
  <c r="F179" i="4"/>
  <c r="F178" i="4"/>
  <c r="F133" i="4"/>
  <c r="F132" i="4"/>
  <c r="F130" i="4"/>
  <c r="F129" i="4"/>
  <c r="F128" i="4"/>
  <c r="F127" i="4"/>
  <c r="F82" i="4"/>
  <c r="F81" i="4"/>
  <c r="F79" i="4"/>
  <c r="F78" i="4"/>
  <c r="F77" i="4"/>
  <c r="F76" i="4"/>
  <c r="F31" i="4"/>
  <c r="F30" i="4"/>
  <c r="F29" i="4"/>
  <c r="F28" i="4"/>
  <c r="F27" i="4"/>
  <c r="F26" i="4"/>
  <c r="F25" i="4"/>
  <c r="F31" i="1"/>
  <c r="F30" i="1"/>
  <c r="F29" i="1"/>
  <c r="F28" i="1"/>
  <c r="F27" i="1"/>
  <c r="H87" i="1" l="1"/>
  <c r="G88" i="1"/>
  <c r="G89" i="1" s="1"/>
  <c r="G90" i="1" s="1"/>
  <c r="K87" i="1"/>
  <c r="G179" i="9"/>
  <c r="G180" i="9" s="1"/>
  <c r="G181" i="9" s="1"/>
  <c r="H178" i="9"/>
  <c r="G127" i="12"/>
  <c r="G91" i="1" l="1"/>
  <c r="H90" i="1"/>
  <c r="K90" i="1"/>
  <c r="H89" i="1"/>
  <c r="K89" i="1"/>
  <c r="K88" i="1"/>
  <c r="H88" i="1"/>
  <c r="H181" i="9"/>
  <c r="G182" i="9"/>
  <c r="H179" i="9"/>
  <c r="H180" i="9" s="1"/>
  <c r="G128" i="12"/>
  <c r="G129" i="12" s="1"/>
  <c r="H127" i="12"/>
  <c r="G178" i="1"/>
  <c r="G127" i="10"/>
  <c r="G178" i="12"/>
  <c r="G178" i="10"/>
  <c r="G178" i="11"/>
  <c r="G76" i="12"/>
  <c r="G127" i="9"/>
  <c r="G25" i="9"/>
  <c r="G76" i="7"/>
  <c r="G25" i="7"/>
  <c r="G25" i="10"/>
  <c r="G25" i="5"/>
  <c r="G25" i="11"/>
  <c r="K91" i="1" l="1"/>
  <c r="H91" i="1"/>
  <c r="H182" i="9"/>
  <c r="G183" i="9"/>
  <c r="G184" i="9" s="1"/>
  <c r="G185" i="9" s="1"/>
  <c r="K178" i="1"/>
  <c r="H178" i="1"/>
  <c r="H129" i="12"/>
  <c r="G130" i="12"/>
  <c r="H128" i="12"/>
  <c r="G179" i="1"/>
  <c r="G179" i="12"/>
  <c r="G180" i="12" s="1"/>
  <c r="H178" i="12"/>
  <c r="G77" i="12"/>
  <c r="G78" i="12" s="1"/>
  <c r="H76" i="12"/>
  <c r="G128" i="9"/>
  <c r="G129" i="9" s="1"/>
  <c r="H127" i="9"/>
  <c r="G26" i="9"/>
  <c r="H25" i="9"/>
  <c r="G77" i="7"/>
  <c r="H76" i="7"/>
  <c r="G26" i="7"/>
  <c r="H25" i="7"/>
  <c r="G179" i="10"/>
  <c r="H178" i="10"/>
  <c r="G128" i="10"/>
  <c r="H127" i="10"/>
  <c r="G26" i="10"/>
  <c r="H25" i="10"/>
  <c r="G26" i="5"/>
  <c r="G27" i="5" s="1"/>
  <c r="H25" i="5"/>
  <c r="G179" i="11"/>
  <c r="H178" i="11"/>
  <c r="G26" i="11"/>
  <c r="H25" i="11"/>
  <c r="G127" i="5"/>
  <c r="G76" i="11"/>
  <c r="G76" i="5"/>
  <c r="G76" i="9"/>
  <c r="G127" i="7"/>
  <c r="G128" i="7" s="1"/>
  <c r="G129" i="7" s="1"/>
  <c r="G130" i="7" s="1"/>
  <c r="G25" i="12"/>
  <c r="G178" i="7"/>
  <c r="G25" i="4"/>
  <c r="H185" i="9" l="1"/>
  <c r="G186" i="9"/>
  <c r="H184" i="9"/>
  <c r="H183" i="9"/>
  <c r="H130" i="12"/>
  <c r="G131" i="12"/>
  <c r="G132" i="12" s="1"/>
  <c r="G131" i="7"/>
  <c r="H78" i="12"/>
  <c r="G79" i="12"/>
  <c r="H180" i="12"/>
  <c r="G181" i="12"/>
  <c r="K179" i="1"/>
  <c r="H179" i="1"/>
  <c r="H129" i="9"/>
  <c r="G130" i="9"/>
  <c r="H179" i="12"/>
  <c r="H77" i="12"/>
  <c r="H128" i="9"/>
  <c r="G27" i="9"/>
  <c r="H26" i="9"/>
  <c r="G78" i="7"/>
  <c r="H77" i="7"/>
  <c r="G27" i="7"/>
  <c r="H26" i="7"/>
  <c r="G180" i="10"/>
  <c r="G181" i="10" s="1"/>
  <c r="H179" i="10"/>
  <c r="G129" i="10"/>
  <c r="H128" i="10"/>
  <c r="H129" i="10" s="1"/>
  <c r="H130" i="10" s="1"/>
  <c r="H131" i="10" s="1"/>
  <c r="G27" i="10"/>
  <c r="H26" i="10"/>
  <c r="H26" i="5"/>
  <c r="G180" i="11"/>
  <c r="H179" i="11"/>
  <c r="G27" i="11"/>
  <c r="H26" i="11"/>
  <c r="G180" i="1"/>
  <c r="G26" i="12"/>
  <c r="H25" i="12"/>
  <c r="G77" i="9"/>
  <c r="G78" i="9" s="1"/>
  <c r="G79" i="9" s="1"/>
  <c r="H76" i="9"/>
  <c r="G128" i="5"/>
  <c r="H127" i="5"/>
  <c r="G77" i="5"/>
  <c r="H76" i="5"/>
  <c r="G77" i="11"/>
  <c r="H76" i="11"/>
  <c r="G26" i="4"/>
  <c r="H25" i="4"/>
  <c r="G179" i="7"/>
  <c r="H178" i="7"/>
  <c r="G27" i="1"/>
  <c r="K27" i="1" s="1"/>
  <c r="G127" i="1"/>
  <c r="G127" i="4"/>
  <c r="G178" i="4"/>
  <c r="H186" i="9" l="1"/>
  <c r="G187" i="9"/>
  <c r="G133" i="12"/>
  <c r="G134" i="12" s="1"/>
  <c r="H132" i="12"/>
  <c r="H131" i="7"/>
  <c r="G132" i="7"/>
  <c r="H131" i="12"/>
  <c r="H181" i="12"/>
  <c r="G182" i="12"/>
  <c r="G183" i="12" s="1"/>
  <c r="G184" i="12" s="1"/>
  <c r="G185" i="12" s="1"/>
  <c r="H79" i="12"/>
  <c r="G80" i="12"/>
  <c r="G81" i="12" s="1"/>
  <c r="H130" i="9"/>
  <c r="G131" i="9"/>
  <c r="H79" i="9"/>
  <c r="G80" i="9"/>
  <c r="H181" i="10"/>
  <c r="G182" i="10"/>
  <c r="G183" i="10" s="1"/>
  <c r="G184" i="10" s="1"/>
  <c r="G185" i="10" s="1"/>
  <c r="K180" i="1"/>
  <c r="H180" i="1"/>
  <c r="G130" i="10"/>
  <c r="G28" i="9"/>
  <c r="H28" i="9" s="1"/>
  <c r="H27" i="9"/>
  <c r="G79" i="7"/>
  <c r="G80" i="7" s="1"/>
  <c r="H78" i="7"/>
  <c r="G28" i="7"/>
  <c r="H27" i="7"/>
  <c r="H180" i="10"/>
  <c r="G28" i="10"/>
  <c r="H27" i="10"/>
  <c r="G28" i="5"/>
  <c r="H27" i="5"/>
  <c r="G181" i="11"/>
  <c r="G182" i="11" s="1"/>
  <c r="H180" i="11"/>
  <c r="G28" i="11"/>
  <c r="H27" i="11"/>
  <c r="G181" i="1"/>
  <c r="G28" i="1"/>
  <c r="H27" i="1"/>
  <c r="G27" i="12"/>
  <c r="H26" i="12"/>
  <c r="H77" i="9"/>
  <c r="H78" i="9" s="1"/>
  <c r="G180" i="7"/>
  <c r="G181" i="7" s="1"/>
  <c r="G182" i="7" s="1"/>
  <c r="H179" i="7"/>
  <c r="G129" i="5"/>
  <c r="G130" i="5" s="1"/>
  <c r="H128" i="5"/>
  <c r="H129" i="5" s="1"/>
  <c r="H130" i="5" s="1"/>
  <c r="H131" i="5" s="1"/>
  <c r="G78" i="5"/>
  <c r="H77" i="5"/>
  <c r="G78" i="11"/>
  <c r="H77" i="11"/>
  <c r="G27" i="4"/>
  <c r="H26" i="4"/>
  <c r="G179" i="4"/>
  <c r="H178" i="4"/>
  <c r="G128" i="4"/>
  <c r="H127" i="4"/>
  <c r="G128" i="1"/>
  <c r="K127" i="1"/>
  <c r="H127" i="1"/>
  <c r="G178" i="5"/>
  <c r="G188" i="9" l="1"/>
  <c r="H187" i="9"/>
  <c r="G183" i="7"/>
  <c r="G184" i="7" s="1"/>
  <c r="G185" i="7" s="1"/>
  <c r="H182" i="7"/>
  <c r="G186" i="12"/>
  <c r="H185" i="12"/>
  <c r="H134" i="12"/>
  <c r="G135" i="12"/>
  <c r="H185" i="10"/>
  <c r="G186" i="10"/>
  <c r="H184" i="12"/>
  <c r="H133" i="12"/>
  <c r="H183" i="12"/>
  <c r="H81" i="12"/>
  <c r="G82" i="12"/>
  <c r="G83" i="12" s="1"/>
  <c r="H80" i="9"/>
  <c r="G81" i="9"/>
  <c r="G82" i="9" s="1"/>
  <c r="G83" i="9" s="1"/>
  <c r="H131" i="9"/>
  <c r="G132" i="9"/>
  <c r="G133" i="9" s="1"/>
  <c r="G134" i="9" s="1"/>
  <c r="H184" i="10"/>
  <c r="H183" i="10"/>
  <c r="H182" i="11"/>
  <c r="G183" i="11"/>
  <c r="G184" i="11" s="1"/>
  <c r="H80" i="7"/>
  <c r="G81" i="7"/>
  <c r="G82" i="7" s="1"/>
  <c r="H132" i="7"/>
  <c r="G133" i="7"/>
  <c r="G134" i="7" s="1"/>
  <c r="H182" i="12"/>
  <c r="H80" i="12"/>
  <c r="H182" i="10"/>
  <c r="G131" i="10"/>
  <c r="G132" i="10" s="1"/>
  <c r="G133" i="10" s="1"/>
  <c r="G134" i="10" s="1"/>
  <c r="G131" i="5"/>
  <c r="G132" i="5" s="1"/>
  <c r="G133" i="5" s="1"/>
  <c r="G29" i="7"/>
  <c r="H28" i="7"/>
  <c r="H79" i="7"/>
  <c r="H181" i="1"/>
  <c r="K181" i="1"/>
  <c r="H181" i="11"/>
  <c r="G29" i="5"/>
  <c r="H28" i="5"/>
  <c r="G29" i="10"/>
  <c r="H28" i="10"/>
  <c r="G182" i="1"/>
  <c r="H182" i="1" s="1"/>
  <c r="G29" i="11"/>
  <c r="H28" i="11"/>
  <c r="G29" i="1"/>
  <c r="H29" i="1" s="1"/>
  <c r="K28" i="1"/>
  <c r="H28" i="1"/>
  <c r="G29" i="9"/>
  <c r="G28" i="12"/>
  <c r="H27" i="12"/>
  <c r="H180" i="7"/>
  <c r="G79" i="5"/>
  <c r="G80" i="5" s="1"/>
  <c r="H78" i="5"/>
  <c r="G79" i="11"/>
  <c r="G80" i="11" s="1"/>
  <c r="H78" i="11"/>
  <c r="G28" i="4"/>
  <c r="H27" i="4"/>
  <c r="G180" i="4"/>
  <c r="H179" i="4"/>
  <c r="G129" i="4"/>
  <c r="H128" i="4"/>
  <c r="G129" i="1"/>
  <c r="K128" i="1"/>
  <c r="H128" i="1"/>
  <c r="G179" i="5"/>
  <c r="H178" i="5"/>
  <c r="G76" i="4"/>
  <c r="H186" i="12" l="1"/>
  <c r="G187" i="12"/>
  <c r="H135" i="12"/>
  <c r="G136" i="12"/>
  <c r="G189" i="9"/>
  <c r="H188" i="9"/>
  <c r="H186" i="10"/>
  <c r="G187" i="10"/>
  <c r="G84" i="12"/>
  <c r="H83" i="12"/>
  <c r="G135" i="9"/>
  <c r="H134" i="9"/>
  <c r="H83" i="9"/>
  <c r="G84" i="9"/>
  <c r="G186" i="7"/>
  <c r="H185" i="7"/>
  <c r="G135" i="7"/>
  <c r="H134" i="7"/>
  <c r="G83" i="7"/>
  <c r="H134" i="10"/>
  <c r="G135" i="10"/>
  <c r="H184" i="11"/>
  <c r="G185" i="11"/>
  <c r="H82" i="12"/>
  <c r="H133" i="9"/>
  <c r="H82" i="9"/>
  <c r="H132" i="9"/>
  <c r="H81" i="9"/>
  <c r="H184" i="7"/>
  <c r="H133" i="7"/>
  <c r="H82" i="7"/>
  <c r="H183" i="7"/>
  <c r="H133" i="10"/>
  <c r="H132" i="10"/>
  <c r="G134" i="5"/>
  <c r="G135" i="5" s="1"/>
  <c r="H133" i="5"/>
  <c r="H132" i="5"/>
  <c r="H80" i="5"/>
  <c r="G81" i="5"/>
  <c r="G82" i="5" s="1"/>
  <c r="H183" i="11"/>
  <c r="H81" i="7"/>
  <c r="H80" i="11"/>
  <c r="G81" i="11"/>
  <c r="H81" i="11" s="1"/>
  <c r="G30" i="9"/>
  <c r="H29" i="9"/>
  <c r="G30" i="7"/>
  <c r="H29" i="7"/>
  <c r="G30" i="10"/>
  <c r="G31" i="10" s="1"/>
  <c r="G32" i="10" s="1"/>
  <c r="H29" i="10"/>
  <c r="G30" i="5"/>
  <c r="G31" i="5" s="1"/>
  <c r="H29" i="5"/>
  <c r="G30" i="11"/>
  <c r="H29" i="11"/>
  <c r="G183" i="1"/>
  <c r="K182" i="1"/>
  <c r="G30" i="1"/>
  <c r="K29" i="1"/>
  <c r="H181" i="7"/>
  <c r="H79" i="5"/>
  <c r="G29" i="12"/>
  <c r="H28" i="12"/>
  <c r="H79" i="11"/>
  <c r="G29" i="4"/>
  <c r="H28" i="4"/>
  <c r="K129" i="1"/>
  <c r="G181" i="4"/>
  <c r="H181" i="4" s="1"/>
  <c r="H180" i="4"/>
  <c r="G130" i="4"/>
  <c r="H129" i="4"/>
  <c r="G130" i="1"/>
  <c r="K130" i="1" s="1"/>
  <c r="H129" i="1"/>
  <c r="G180" i="5"/>
  <c r="H179" i="5"/>
  <c r="G77" i="4"/>
  <c r="H76" i="4"/>
  <c r="G127" i="11"/>
  <c r="G188" i="12" l="1"/>
  <c r="H187" i="12"/>
  <c r="H136" i="12"/>
  <c r="G137" i="12"/>
  <c r="H84" i="12"/>
  <c r="G85" i="12"/>
  <c r="G190" i="9"/>
  <c r="H190" i="9" s="1"/>
  <c r="H189" i="9"/>
  <c r="H135" i="9"/>
  <c r="G136" i="9"/>
  <c r="H84" i="9"/>
  <c r="G85" i="9"/>
  <c r="G86" i="9" s="1"/>
  <c r="H186" i="7"/>
  <c r="G187" i="7"/>
  <c r="H135" i="7"/>
  <c r="G136" i="7"/>
  <c r="H187" i="10"/>
  <c r="G188" i="10"/>
  <c r="H135" i="10"/>
  <c r="G136" i="10"/>
  <c r="G84" i="7"/>
  <c r="H83" i="7"/>
  <c r="H32" i="10"/>
  <c r="G33" i="10"/>
  <c r="H134" i="5"/>
  <c r="H185" i="11"/>
  <c r="G186" i="11"/>
  <c r="H31" i="10"/>
  <c r="G83" i="5"/>
  <c r="H82" i="5"/>
  <c r="G32" i="5"/>
  <c r="H31" i="5"/>
  <c r="H81" i="5"/>
  <c r="G31" i="9"/>
  <c r="G32" i="9" s="1"/>
  <c r="H30" i="9"/>
  <c r="H30" i="5"/>
  <c r="G82" i="11"/>
  <c r="G184" i="1"/>
  <c r="G185" i="1" s="1"/>
  <c r="G186" i="1" s="1"/>
  <c r="G187" i="1" s="1"/>
  <c r="H183" i="1"/>
  <c r="K183" i="1"/>
  <c r="G31" i="7"/>
  <c r="G32" i="7" s="1"/>
  <c r="H30" i="7"/>
  <c r="H30" i="10"/>
  <c r="G31" i="11"/>
  <c r="H30" i="11"/>
  <c r="G31" i="1"/>
  <c r="G32" i="1" s="1"/>
  <c r="G33" i="1" s="1"/>
  <c r="G34" i="1" s="1"/>
  <c r="K30" i="1"/>
  <c r="H30" i="1"/>
  <c r="G30" i="12"/>
  <c r="G31" i="12" s="1"/>
  <c r="H29" i="12"/>
  <c r="G30" i="4"/>
  <c r="H29" i="4"/>
  <c r="G131" i="4"/>
  <c r="H131" i="4" s="1"/>
  <c r="H130" i="4"/>
  <c r="G182" i="4"/>
  <c r="G131" i="1"/>
  <c r="H130" i="1"/>
  <c r="G181" i="5"/>
  <c r="G182" i="5" s="1"/>
  <c r="H180" i="5"/>
  <c r="G78" i="4"/>
  <c r="H77" i="4"/>
  <c r="G128" i="11"/>
  <c r="H127" i="11"/>
  <c r="K187" i="1" l="1"/>
  <c r="H187" i="1"/>
  <c r="G188" i="1"/>
  <c r="H188" i="12"/>
  <c r="G189" i="12"/>
  <c r="G138" i="12"/>
  <c r="H137" i="12"/>
  <c r="G86" i="12"/>
  <c r="H85" i="12"/>
  <c r="H136" i="9"/>
  <c r="G137" i="9"/>
  <c r="H85" i="9"/>
  <c r="G188" i="7"/>
  <c r="H187" i="7"/>
  <c r="H136" i="7"/>
  <c r="G137" i="7"/>
  <c r="H84" i="7"/>
  <c r="G85" i="7"/>
  <c r="G189" i="10"/>
  <c r="H188" i="10"/>
  <c r="G137" i="10"/>
  <c r="H136" i="10"/>
  <c r="H33" i="10"/>
  <c r="G34" i="10"/>
  <c r="H135" i="5"/>
  <c r="G136" i="5"/>
  <c r="H186" i="11"/>
  <c r="G187" i="11"/>
  <c r="K34" i="1"/>
  <c r="G35" i="1"/>
  <c r="H34" i="1"/>
  <c r="H32" i="9"/>
  <c r="G33" i="9"/>
  <c r="G33" i="7"/>
  <c r="H32" i="7"/>
  <c r="H83" i="5"/>
  <c r="G84" i="5"/>
  <c r="H32" i="5"/>
  <c r="G33" i="5"/>
  <c r="K186" i="1"/>
  <c r="H186" i="1"/>
  <c r="K33" i="1"/>
  <c r="H33" i="1"/>
  <c r="G32" i="12"/>
  <c r="H31" i="12"/>
  <c r="H31" i="9"/>
  <c r="H31" i="7"/>
  <c r="H182" i="5"/>
  <c r="G183" i="5"/>
  <c r="G184" i="5" s="1"/>
  <c r="G185" i="5" s="1"/>
  <c r="H82" i="11"/>
  <c r="G83" i="11"/>
  <c r="H31" i="11"/>
  <c r="G32" i="11"/>
  <c r="K185" i="1"/>
  <c r="H185" i="1"/>
  <c r="K32" i="1"/>
  <c r="H32" i="1"/>
  <c r="H31" i="1"/>
  <c r="K31" i="1"/>
  <c r="H30" i="12"/>
  <c r="H184" i="1"/>
  <c r="K184" i="1"/>
  <c r="G31" i="4"/>
  <c r="H30" i="4"/>
  <c r="G132" i="4"/>
  <c r="G183" i="4"/>
  <c r="H182" i="4"/>
  <c r="H131" i="1"/>
  <c r="G132" i="1"/>
  <c r="K131" i="1"/>
  <c r="H181" i="5"/>
  <c r="G79" i="4"/>
  <c r="G80" i="4" s="1"/>
  <c r="H80" i="4" s="1"/>
  <c r="H78" i="4"/>
  <c r="G129" i="11"/>
  <c r="H128" i="11"/>
  <c r="G189" i="1" l="1"/>
  <c r="K188" i="1"/>
  <c r="H188" i="1"/>
  <c r="G190" i="12"/>
  <c r="H190" i="12" s="1"/>
  <c r="H189" i="12"/>
  <c r="G139" i="12"/>
  <c r="H139" i="12" s="1"/>
  <c r="H138" i="12"/>
  <c r="G87" i="12"/>
  <c r="H86" i="12"/>
  <c r="G138" i="9"/>
  <c r="H137" i="9"/>
  <c r="H86" i="9"/>
  <c r="G87" i="9"/>
  <c r="H33" i="9"/>
  <c r="G34" i="9"/>
  <c r="G189" i="7"/>
  <c r="H188" i="7"/>
  <c r="H137" i="7"/>
  <c r="G138" i="7"/>
  <c r="G86" i="7"/>
  <c r="H85" i="7"/>
  <c r="H33" i="7"/>
  <c r="G34" i="7"/>
  <c r="G190" i="10"/>
  <c r="H190" i="10" s="1"/>
  <c r="H189" i="10"/>
  <c r="H137" i="10"/>
  <c r="G138" i="10"/>
  <c r="H34" i="10"/>
  <c r="G35" i="10"/>
  <c r="G137" i="5"/>
  <c r="H136" i="5"/>
  <c r="H84" i="5"/>
  <c r="G85" i="5"/>
  <c r="H33" i="5"/>
  <c r="G34" i="5"/>
  <c r="H187" i="11"/>
  <c r="G188" i="11"/>
  <c r="G36" i="1"/>
  <c r="K35" i="1"/>
  <c r="H35" i="1"/>
  <c r="H32" i="12"/>
  <c r="G33" i="12"/>
  <c r="H185" i="5"/>
  <c r="G186" i="5"/>
  <c r="H83" i="11"/>
  <c r="G84" i="11"/>
  <c r="H32" i="11"/>
  <c r="G33" i="11"/>
  <c r="H184" i="5"/>
  <c r="H183" i="5"/>
  <c r="H31" i="4"/>
  <c r="G32" i="4"/>
  <c r="G184" i="4"/>
  <c r="H183" i="4"/>
  <c r="G133" i="4"/>
  <c r="H132" i="4"/>
  <c r="G133" i="1"/>
  <c r="G134" i="1" s="1"/>
  <c r="G135" i="1" s="1"/>
  <c r="G136" i="1" s="1"/>
  <c r="K132" i="1"/>
  <c r="H132" i="1"/>
  <c r="G81" i="4"/>
  <c r="H79" i="4"/>
  <c r="G130" i="11"/>
  <c r="G131" i="11" s="1"/>
  <c r="H129" i="11"/>
  <c r="G76" i="10"/>
  <c r="G190" i="1" l="1"/>
  <c r="G191" i="1" s="1"/>
  <c r="H189" i="1"/>
  <c r="K189" i="1"/>
  <c r="H87" i="12"/>
  <c r="G88" i="12"/>
  <c r="H88" i="12" s="1"/>
  <c r="H33" i="12"/>
  <c r="G34" i="12"/>
  <c r="G139" i="9"/>
  <c r="H139" i="9" s="1"/>
  <c r="H138" i="9"/>
  <c r="G88" i="9"/>
  <c r="H88" i="9" s="1"/>
  <c r="H87" i="9"/>
  <c r="H34" i="9"/>
  <c r="G35" i="9"/>
  <c r="G190" i="7"/>
  <c r="H190" i="7" s="1"/>
  <c r="H189" i="7"/>
  <c r="H138" i="7"/>
  <c r="G139" i="7"/>
  <c r="H139" i="7" s="1"/>
  <c r="H86" i="7"/>
  <c r="G87" i="7"/>
  <c r="G35" i="7"/>
  <c r="H34" i="7"/>
  <c r="G139" i="10"/>
  <c r="H139" i="10" s="1"/>
  <c r="H138" i="10"/>
  <c r="H35" i="10"/>
  <c r="G36" i="10"/>
  <c r="H186" i="5"/>
  <c r="G187" i="5"/>
  <c r="G138" i="5"/>
  <c r="H137" i="5"/>
  <c r="H85" i="5"/>
  <c r="G86" i="5"/>
  <c r="H34" i="5"/>
  <c r="G35" i="5"/>
  <c r="H188" i="11"/>
  <c r="G189" i="11"/>
  <c r="H84" i="11"/>
  <c r="G85" i="11"/>
  <c r="H33" i="11"/>
  <c r="G34" i="11"/>
  <c r="H136" i="1"/>
  <c r="G137" i="1"/>
  <c r="K136" i="1"/>
  <c r="H36" i="1"/>
  <c r="K36" i="1"/>
  <c r="G37" i="1"/>
  <c r="G38" i="1" s="1"/>
  <c r="G39" i="1" s="1"/>
  <c r="G40" i="1" s="1"/>
  <c r="H32" i="4"/>
  <c r="G33" i="4"/>
  <c r="K135" i="1"/>
  <c r="H135" i="1"/>
  <c r="H131" i="11"/>
  <c r="G132" i="11"/>
  <c r="H184" i="4"/>
  <c r="G185" i="4"/>
  <c r="H133" i="4"/>
  <c r="G134" i="4"/>
  <c r="K134" i="1"/>
  <c r="H134" i="1"/>
  <c r="K133" i="1"/>
  <c r="H133" i="1"/>
  <c r="G82" i="4"/>
  <c r="H81" i="4"/>
  <c r="H130" i="11"/>
  <c r="G77" i="10"/>
  <c r="H76" i="10"/>
  <c r="H40" i="1" l="1"/>
  <c r="K40" i="1"/>
  <c r="K39" i="1"/>
  <c r="H39" i="1"/>
  <c r="H191" i="1"/>
  <c r="K191" i="1"/>
  <c r="K38" i="1"/>
  <c r="H38" i="1"/>
  <c r="H190" i="1"/>
  <c r="K190" i="1"/>
  <c r="G35" i="12"/>
  <c r="G36" i="12" s="1"/>
  <c r="H34" i="12"/>
  <c r="H35" i="9"/>
  <c r="G36" i="9"/>
  <c r="G88" i="7"/>
  <c r="H88" i="7" s="1"/>
  <c r="H87" i="7"/>
  <c r="G36" i="7"/>
  <c r="H35" i="7"/>
  <c r="G37" i="10"/>
  <c r="H37" i="10" s="1"/>
  <c r="H36" i="10"/>
  <c r="H187" i="5"/>
  <c r="G188" i="5"/>
  <c r="G139" i="5"/>
  <c r="H139" i="5" s="1"/>
  <c r="H138" i="5"/>
  <c r="G87" i="5"/>
  <c r="H86" i="5"/>
  <c r="H35" i="5"/>
  <c r="G36" i="5"/>
  <c r="G190" i="11"/>
  <c r="H190" i="11" s="1"/>
  <c r="H189" i="11"/>
  <c r="H85" i="11"/>
  <c r="G86" i="11"/>
  <c r="H34" i="11"/>
  <c r="G35" i="11"/>
  <c r="H33" i="4"/>
  <c r="G34" i="4"/>
  <c r="G35" i="4" s="1"/>
  <c r="H137" i="1"/>
  <c r="K137" i="1"/>
  <c r="G138" i="1"/>
  <c r="K37" i="1"/>
  <c r="H37" i="1"/>
  <c r="H185" i="4"/>
  <c r="G186" i="4"/>
  <c r="H134" i="4"/>
  <c r="G135" i="4"/>
  <c r="H132" i="11"/>
  <c r="G133" i="11"/>
  <c r="H82" i="4"/>
  <c r="G83" i="4"/>
  <c r="G78" i="10"/>
  <c r="G79" i="10" s="1"/>
  <c r="H77" i="10"/>
  <c r="H36" i="12" l="1"/>
  <c r="G37" i="12"/>
  <c r="H37" i="12" s="1"/>
  <c r="H35" i="4"/>
  <c r="G36" i="4"/>
  <c r="H35" i="12"/>
  <c r="G37" i="9"/>
  <c r="H36" i="9"/>
  <c r="G37" i="7"/>
  <c r="H37" i="7" s="1"/>
  <c r="H36" i="7"/>
  <c r="H188" i="5"/>
  <c r="G189" i="5"/>
  <c r="G88" i="5"/>
  <c r="H88" i="5" s="1"/>
  <c r="H87" i="5"/>
  <c r="H36" i="5"/>
  <c r="G37" i="5"/>
  <c r="H37" i="5" s="1"/>
  <c r="G87" i="11"/>
  <c r="H86" i="11"/>
  <c r="H35" i="11"/>
  <c r="G36" i="11"/>
  <c r="H186" i="4"/>
  <c r="G187" i="4"/>
  <c r="H135" i="4"/>
  <c r="G136" i="4"/>
  <c r="H34" i="4"/>
  <c r="G139" i="1"/>
  <c r="G140" i="1" s="1"/>
  <c r="H138" i="1"/>
  <c r="K138" i="1"/>
  <c r="H83" i="4"/>
  <c r="G84" i="4"/>
  <c r="H133" i="11"/>
  <c r="G134" i="11"/>
  <c r="H79" i="10"/>
  <c r="G80" i="10"/>
  <c r="H78" i="10"/>
  <c r="K140" i="1" l="1"/>
  <c r="G141" i="1"/>
  <c r="G37" i="4"/>
  <c r="H36" i="4"/>
  <c r="H189" i="5"/>
  <c r="G190" i="5"/>
  <c r="H190" i="5" s="1"/>
  <c r="H87" i="11"/>
  <c r="G88" i="11"/>
  <c r="H88" i="11" s="1"/>
  <c r="G37" i="11"/>
  <c r="H37" i="11" s="1"/>
  <c r="H36" i="11"/>
  <c r="H187" i="4"/>
  <c r="G188" i="4"/>
  <c r="H136" i="4"/>
  <c r="G137" i="4"/>
  <c r="H84" i="4"/>
  <c r="G85" i="4"/>
  <c r="H139" i="1"/>
  <c r="K139" i="1"/>
  <c r="H134" i="11"/>
  <c r="G135" i="11"/>
  <c r="H80" i="10"/>
  <c r="G81" i="10"/>
  <c r="G82" i="10" s="1"/>
  <c r="G83" i="10" s="1"/>
  <c r="K141" i="1" l="1"/>
  <c r="H141" i="1"/>
  <c r="G142" i="1"/>
  <c r="H37" i="4"/>
  <c r="G38" i="4"/>
  <c r="H135" i="11"/>
  <c r="G136" i="11"/>
  <c r="G189" i="4"/>
  <c r="H188" i="4"/>
  <c r="H137" i="4"/>
  <c r="G138" i="4"/>
  <c r="G86" i="4"/>
  <c r="H85" i="4"/>
  <c r="H83" i="10"/>
  <c r="G84" i="10"/>
  <c r="H82" i="10"/>
  <c r="H81" i="10"/>
  <c r="H38" i="4" l="1"/>
  <c r="G39" i="4"/>
  <c r="K142" i="1"/>
  <c r="H142" i="1"/>
  <c r="H84" i="10"/>
  <c r="G85" i="10"/>
  <c r="G137" i="11"/>
  <c r="H136" i="11"/>
  <c r="G190" i="4"/>
  <c r="H189" i="4"/>
  <c r="G139" i="4"/>
  <c r="H138" i="4"/>
  <c r="H86" i="4"/>
  <c r="G87" i="4"/>
  <c r="H39" i="4" l="1"/>
  <c r="G40" i="4"/>
  <c r="H40" i="4" s="1"/>
  <c r="H190" i="4"/>
  <c r="G191" i="4"/>
  <c r="H191" i="4" s="1"/>
  <c r="H139" i="4"/>
  <c r="G140" i="4"/>
  <c r="H140" i="4" s="1"/>
  <c r="H85" i="10"/>
  <c r="G86" i="10"/>
  <c r="G138" i="11"/>
  <c r="H137" i="11"/>
  <c r="G88" i="4"/>
  <c r="H87" i="4"/>
  <c r="H88" i="4" l="1"/>
  <c r="G89" i="4"/>
  <c r="H86" i="10"/>
  <c r="G87" i="10"/>
  <c r="G139" i="11"/>
  <c r="H139" i="11" s="1"/>
  <c r="H138" i="11"/>
  <c r="H89" i="4" l="1"/>
  <c r="G90" i="4"/>
  <c r="G88" i="10"/>
  <c r="H88" i="10" s="1"/>
  <c r="H87" i="10"/>
  <c r="G91" i="4" l="1"/>
  <c r="H91" i="4" s="1"/>
  <c r="H90" i="4"/>
</calcChain>
</file>

<file path=xl/sharedStrings.xml><?xml version="1.0" encoding="utf-8"?>
<sst xmlns="http://schemas.openxmlformats.org/spreadsheetml/2006/main" count="3206" uniqueCount="90">
  <si>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</si>
  <si>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</si>
  <si>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</si>
  <si>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</si>
  <si>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</si>
  <si>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</si>
  <si>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</si>
  <si>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</si>
  <si>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</si>
  <si>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</si>
  <si>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</si>
  <si>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</si>
  <si>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</si>
  <si>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</si>
  <si>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</si>
  <si>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</si>
  <si>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</si>
  <si>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</si>
  <si>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</si>
  <si>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</si>
  <si>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</si>
  <si>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</si>
  <si>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</si>
  <si>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</si>
  <si>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</si>
  <si>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</si>
  <si>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</si>
  <si>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</si>
  <si>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</si>
  <si>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</si>
  <si>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</si>
  <si>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</si>
  <si>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</si>
  <si>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</si>
  <si>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</si>
  <si>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</si>
  <si>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</si>
  <si>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</si>
  <si>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</si>
  <si>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</si>
  <si>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</si>
  <si>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</si>
  <si>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</si>
  <si>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</si>
  <si>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</si>
  <si>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</si>
  <si>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</si>
  <si>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</si>
  <si>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</si>
  <si>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</si>
  <si>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</si>
  <si>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</si>
  <si>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</si>
  <si>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</si>
  <si>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</si>
  <si>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</si>
  <si>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</si>
  <si>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</si>
  <si>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</si>
  <si>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</si>
  <si>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</si>
  <si>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</si>
  <si>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</si>
  <si>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</si>
  <si>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</si>
  <si>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</si>
  <si>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</si>
  <si>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</si>
  <si>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</si>
  <si>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</si>
  <si>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</si>
  <si>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</si>
  <si>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11/05/2026 - 11/05/2026</t>
  </si>
  <si>
    <t>18/05/2026 - 15/05/2026</t>
  </si>
  <si>
    <t xml:space="preserve"> </t>
  </si>
  <si>
    <t>25/05/2026  - 29/05/2026</t>
  </si>
  <si>
    <t>01/06/2026 - 05/06/2026</t>
  </si>
  <si>
    <t>15/06/2026 - 29/06/2026</t>
  </si>
  <si>
    <t>16/06/2026 - 19/06/2026</t>
  </si>
  <si>
    <t>29/06/2026 - 03/07/2026</t>
  </si>
  <si>
    <t>06/07/2026 - 10/07/2026</t>
  </si>
  <si>
    <t>13/07/2026 - 17/07/2026</t>
  </si>
  <si>
    <t>20/07/2026 - 24/07/2026</t>
  </si>
  <si>
    <t>27/07/2026 - 31/07/2026</t>
  </si>
  <si>
    <t>03/08/2026 - 07/08/2026</t>
  </si>
  <si>
    <t>10/08/2026 - 14/08/2026</t>
  </si>
  <si>
    <t>24/08/2026 - 28/08/2026</t>
  </si>
  <si>
    <t>17/08/2026 - 21/08/2026</t>
  </si>
  <si>
    <t>Publication Date: 2026/08/31</t>
  </si>
  <si>
    <t>Publication Date:  2026/08/31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</si>
</sst>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21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b/>
      <sz val="14"/>
      <color theme="1"/>
      <name val="Aptos"/>
      <family val="2"/>
    </font>
    <font>
      <b/>
      <sz val="16"/>
      <color theme="1"/>
      <name val="Aptos"/>
      <family val="2"/>
    </font>
    <font>
      <b/>
      <sz val="1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7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  <border>
      <left style="thin">
        <color indexed="64"/>
      </left>
      <right style="thin">
        <color rgb="FF0A0101"/>
      </right>
      <top style="dotted">
        <color rgb="FF0A0101"/>
      </top>
      <bottom style="dotted">
        <color indexed="64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indexed="64"/>
      </bottom>
      <diagonal/>
    </border>
    <border>
      <left style="thin">
        <color rgb="FF0A0101"/>
      </left>
      <right style="thin">
        <color indexed="64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indexed="64"/>
      </bottom>
      <diagonal/>
    </border>
    <border>
      <left style="thin">
        <color indexed="64"/>
      </left>
      <right style="thin">
        <color rgb="FF0A0101"/>
      </right>
      <top/>
      <bottom style="dotted">
        <color indexed="64"/>
      </bottom>
      <diagonal/>
    </border>
    <border>
      <left style="thin">
        <color rgb="FF0A0101"/>
      </left>
      <right style="thin">
        <color rgb="FF0A0101"/>
      </right>
      <top/>
      <bottom style="dotted">
        <color indexed="64"/>
      </bottom>
      <diagonal/>
    </border>
    <border>
      <left style="thin">
        <color indexed="64"/>
      </left>
      <right style="thin">
        <color rgb="FF0A0101"/>
      </right>
      <top style="dotted">
        <color indexed="64"/>
      </top>
      <bottom style="dotted">
        <color indexed="64"/>
      </bottom>
      <diagonal/>
    </border>
    <border>
      <left style="thin">
        <color rgb="FF0A0101"/>
      </left>
      <right style="thin">
        <color rgb="FF0A0101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5" fillId="0" borderId="0"/>
  </cellStyleXfs>
  <cellXfs count="190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165" fontId="8" fillId="0" borderId="3" xfId="0" applyNumberFormat="1" applyFont="1" applyBorder="1"/>
    <xf numFmtId="0" fontId="5" fillId="2" borderId="15" xfId="0" applyFont="1" applyFill="1" applyBorder="1"/>
    <xf numFmtId="0" fontId="5" fillId="2" borderId="16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4" xfId="0" applyNumberFormat="1" applyFont="1" applyBorder="1"/>
    <xf numFmtId="0" fontId="7" fillId="0" borderId="8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12" fillId="0" borderId="0" xfId="0" applyFont="1"/>
    <xf numFmtId="0" fontId="11" fillId="2" borderId="0" xfId="0" applyFont="1" applyFill="1"/>
    <xf numFmtId="0" fontId="12" fillId="2" borderId="0" xfId="0" applyFont="1" applyFill="1"/>
    <xf numFmtId="0" fontId="13" fillId="0" borderId="0" xfId="0" applyFont="1"/>
    <xf numFmtId="0" fontId="13" fillId="2" borderId="0" xfId="0" applyFont="1" applyFill="1"/>
    <xf numFmtId="4" fontId="3" fillId="0" borderId="0" xfId="0" applyNumberFormat="1" applyFont="1"/>
    <xf numFmtId="0" fontId="9" fillId="0" borderId="9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7" fillId="0" borderId="8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1" fontId="9" fillId="0" borderId="9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13" fillId="0" borderId="0" xfId="0" applyNumberFormat="1" applyFont="1"/>
    <xf numFmtId="0" fontId="9" fillId="0" borderId="9" xfId="0" applyFont="1" applyBorder="1" applyAlignment="1">
      <alignment horizontal="right" vertical="center" wrapText="1"/>
    </xf>
    <xf numFmtId="0" fontId="14" fillId="6" borderId="0" xfId="0" applyFont="1" applyFill="1"/>
    <xf numFmtId="0" fontId="14" fillId="6" borderId="0" xfId="0" applyFont="1" applyFill="1" applyAlignment="1">
      <alignment horizontal="right"/>
    </xf>
    <xf numFmtId="3" fontId="14" fillId="6" borderId="0" xfId="0" applyNumberFormat="1" applyFont="1" applyFill="1" applyAlignment="1">
      <alignment horizontal="right"/>
    </xf>
    <xf numFmtId="3" fontId="14" fillId="6" borderId="0" xfId="0" applyNumberFormat="1" applyFont="1" applyFill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right"/>
    </xf>
    <xf numFmtId="3" fontId="5" fillId="0" borderId="23" xfId="0" applyNumberFormat="1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3" fontId="7" fillId="0" borderId="19" xfId="0" applyNumberFormat="1" applyFont="1" applyBorder="1" applyAlignment="1">
      <alignment horizontal="right"/>
    </xf>
    <xf numFmtId="3" fontId="8" fillId="0" borderId="0" xfId="0" applyNumberFormat="1" applyFont="1"/>
    <xf numFmtId="0" fontId="5" fillId="2" borderId="4" xfId="0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3" fontId="7" fillId="0" borderId="20" xfId="0" applyNumberFormat="1" applyFont="1" applyBorder="1"/>
    <xf numFmtId="4" fontId="7" fillId="0" borderId="0" xfId="0" applyNumberFormat="1" applyFont="1"/>
    <xf numFmtId="0" fontId="9" fillId="0" borderId="10" xfId="0" applyFont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9" fillId="0" borderId="25" xfId="0" applyFont="1" applyBorder="1" applyAlignment="1">
      <alignment horizontal="right" vertical="center"/>
    </xf>
    <xf numFmtId="3" fontId="7" fillId="0" borderId="26" xfId="0" applyNumberFormat="1" applyFont="1" applyBorder="1"/>
    <xf numFmtId="3" fontId="5" fillId="0" borderId="26" xfId="0" applyNumberFormat="1" applyFont="1" applyBorder="1"/>
    <xf numFmtId="3" fontId="7" fillId="0" borderId="27" xfId="0" applyNumberFormat="1" applyFont="1" applyBorder="1"/>
    <xf numFmtId="3" fontId="7" fillId="0" borderId="28" xfId="0" applyNumberFormat="1" applyFont="1" applyBorder="1"/>
    <xf numFmtId="0" fontId="14" fillId="0" borderId="0" xfId="0" applyFont="1"/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4" fillId="0" borderId="0" xfId="0" applyNumberFormat="1" applyFon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9" fillId="0" borderId="18" xfId="0" applyFont="1" applyBorder="1" applyAlignment="1">
      <alignment horizontal="right" vertical="center"/>
    </xf>
    <xf numFmtId="3" fontId="7" fillId="0" borderId="29" xfId="0" applyNumberFormat="1" applyFont="1" applyBorder="1"/>
    <xf numFmtId="3" fontId="7" fillId="0" borderId="30" xfId="0" applyNumberFormat="1" applyFont="1" applyBorder="1"/>
    <xf numFmtId="3" fontId="5" fillId="0" borderId="30" xfId="0" applyNumberFormat="1" applyFont="1" applyBorder="1"/>
    <xf numFmtId="0" fontId="5" fillId="2" borderId="31" xfId="0" applyFont="1" applyFill="1" applyBorder="1" applyAlignment="1">
      <alignment horizontal="center"/>
    </xf>
    <xf numFmtId="3" fontId="7" fillId="0" borderId="32" xfId="0" applyNumberFormat="1" applyFont="1" applyBorder="1"/>
    <xf numFmtId="3" fontId="7" fillId="0" borderId="33" xfId="0" applyNumberFormat="1" applyFont="1" applyBorder="1"/>
    <xf numFmtId="3" fontId="7" fillId="0" borderId="34" xfId="0" applyNumberFormat="1" applyFont="1" applyBorder="1"/>
    <xf numFmtId="3" fontId="5" fillId="0" borderId="34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5" fillId="0" borderId="36" xfId="0" applyNumberFormat="1" applyFont="1" applyBorder="1"/>
    <xf numFmtId="3" fontId="7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3" fontId="8" fillId="0" borderId="30" xfId="0" applyNumberFormat="1" applyFont="1" applyBorder="1"/>
    <xf numFmtId="3" fontId="5" fillId="9" borderId="3" xfId="0" applyNumberFormat="1" applyFont="1" applyFill="1" applyBorder="1"/>
    <xf numFmtId="3" fontId="5" fillId="5" borderId="3" xfId="0" applyNumberFormat="1" applyFont="1" applyFill="1" applyBorder="1"/>
    <xf numFmtId="3" fontId="20" fillId="10" borderId="3" xfId="0" applyNumberFormat="1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1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11" fillId="5" borderId="0" xfId="0" applyNumberFormat="1" applyFont="1" applyFill="1" applyAlignment="1">
      <alignment horizontal="center"/>
    </xf>
    <xf numFmtId="3" fontId="10" fillId="6" borderId="0" xfId="0" applyNumberFormat="1" applyFont="1" applyFill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11" fillId="10" borderId="0" xfId="0" applyNumberFormat="1" applyFont="1" applyFill="1" applyAlignment="1">
      <alignment horizontal="center"/>
    </xf>
    <xf numFmtId="3" fontId="10" fillId="7" borderId="0" xfId="0" applyNumberFormat="1" applyFont="1" applyFill="1" applyAlignment="1">
      <alignment horizontal="center"/>
    </xf>
    <xf numFmtId="3" fontId="10" fillId="4" borderId="0" xfId="0" applyNumberFormat="1" applyFont="1" applyFill="1" applyAlignment="1">
      <alignment horizontal="center" vertical="center" wrapText="1"/>
    </xf>
    <xf numFmtId="3" fontId="10" fillId="4" borderId="0" xfId="0" applyNumberFormat="1" applyFont="1" applyFill="1" applyAlignment="1">
      <alignment horizontal="center" vertical="center"/>
    </xf>
    <xf numFmtId="3" fontId="18" fillId="9" borderId="0" xfId="0" applyNumberFormat="1" applyFont="1" applyFill="1" applyAlignment="1">
      <alignment horizontal="center"/>
    </xf>
    <xf numFmtId="3" fontId="19" fillId="3" borderId="0" xfId="0" applyNumberFormat="1" applyFont="1" applyFill="1" applyAlignment="1">
      <alignment horizontal="center"/>
    </xf>
    <xf numFmtId="3" fontId="11" fillId="9" borderId="0" xfId="0" applyNumberFormat="1" applyFont="1" applyFill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6" fillId="0" borderId="8" xfId="0" applyNumberFormat="1" applyFont="1" applyBorder="1" applyAlignment="1">
      <alignment wrapText="1"/>
    </xf>
    <xf numFmtId="3" fontId="5" fillId="0" borderId="24" xfId="0" applyNumberFormat="1" applyFont="1" applyBorder="1" applyAlignment="1">
      <alignment horizontal="center"/>
    </xf>
    <xf numFmtId="3" fontId="11" fillId="6" borderId="0" xfId="0" applyNumberFormat="1" applyFont="1" applyFill="1"/>
    <xf numFmtId="3" fontId="2" fillId="6" borderId="0" xfId="0" applyNumberFormat="1" applyFont="1" applyFill="1"/>
    <xf numFmtId="3" fontId="5" fillId="2" borderId="21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wrapText="1"/>
    </xf>
    <xf numFmtId="3" fontId="5" fillId="2" borderId="22" xfId="0" applyNumberFormat="1" applyFont="1" applyFill="1" applyBorder="1" applyAlignment="1">
      <alignment horizontal="center"/>
    </xf>
    <xf numFmtId="3" fontId="11" fillId="7" borderId="0" xfId="0" applyNumberFormat="1" applyFont="1" applyFill="1"/>
    <xf numFmtId="3" fontId="2" fillId="7" borderId="0" xfId="0" applyNumberFormat="1" applyFont="1" applyFill="1"/>
    <xf numFmtId="3" fontId="11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Raisins'!$B$162:$B$166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Raisins'!$G$162:$G$166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Raisins'!$B$162:$B$166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Raisins'!$I$162:$I$166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Raisins'!$B$162:$B$166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Raisins'!$L$162:$L$166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 b="1"/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Raisins'!$G$9:$G$45</c:f>
              <c:numCache>
                <c:formatCode>#,##0</c:formatCode>
                <c:ptCount val="32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55177982.93</c:v>
                </c:pt>
                <c:pt idx="7">
                  <c:v>66843765.259999998</c:v>
                </c:pt>
                <c:pt idx="8">
                  <c:v>78329833.560000002</c:v>
                </c:pt>
                <c:pt idx="9">
                  <c:v>85074446.99000001</c:v>
                </c:pt>
                <c:pt idx="10">
                  <c:v>87207139.13000001</c:v>
                </c:pt>
                <c:pt idx="11">
                  <c:v>89771399.720000014</c:v>
                </c:pt>
                <c:pt idx="12">
                  <c:v>93061603.12000002</c:v>
                </c:pt>
                <c:pt idx="13">
                  <c:v>94539082.730000019</c:v>
                </c:pt>
                <c:pt idx="14">
                  <c:v>95269162.770000026</c:v>
                </c:pt>
                <c:pt idx="15">
                  <c:v>96451164.770000026</c:v>
                </c:pt>
                <c:pt idx="16">
                  <c:v>96639688.270000026</c:v>
                </c:pt>
                <c:pt idx="17">
                  <c:v>97112226.520000026</c:v>
                </c:pt>
                <c:pt idx="18">
                  <c:v>97991524.030000031</c:v>
                </c:pt>
                <c:pt idx="19">
                  <c:v>98845965.020000026</c:v>
                </c:pt>
                <c:pt idx="20">
                  <c:v>99106720.320000023</c:v>
                </c:pt>
                <c:pt idx="21">
                  <c:v>99480758.520000026</c:v>
                </c:pt>
                <c:pt idx="22">
                  <c:v>99587524.320000023</c:v>
                </c:pt>
                <c:pt idx="23">
                  <c:v>99654557.820000023</c:v>
                </c:pt>
                <c:pt idx="24">
                  <c:v>100655542.82000002</c:v>
                </c:pt>
                <c:pt idx="25">
                  <c:v>100667303.82000002</c:v>
                </c:pt>
                <c:pt idx="26">
                  <c:v>100829804.82000002</c:v>
                </c:pt>
                <c:pt idx="27">
                  <c:v>100883168.82000002</c:v>
                </c:pt>
                <c:pt idx="28">
                  <c:v>100904018.82000002</c:v>
                </c:pt>
                <c:pt idx="29">
                  <c:v>100995465.82000002</c:v>
                </c:pt>
                <c:pt idx="30">
                  <c:v>100995465.82000002</c:v>
                </c:pt>
                <c:pt idx="31">
                  <c:v>101087072.32000002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3-44BE-AAF7-E8D2C418927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Raisins'!$I$9:$I$45</c:f>
              <c:numCache>
                <c:formatCode>#,##0</c:formatCode>
                <c:ptCount val="32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  <c:pt idx="11">
                  <c:v>84052270.400000006</c:v>
                </c:pt>
                <c:pt idx="12">
                  <c:v>88436945.950000003</c:v>
                </c:pt>
                <c:pt idx="13">
                  <c:v>91353484.510000005</c:v>
                </c:pt>
                <c:pt idx="14">
                  <c:v>95536029.579999998</c:v>
                </c:pt>
                <c:pt idx="15">
                  <c:v>97417372.370000005</c:v>
                </c:pt>
                <c:pt idx="16">
                  <c:v>99016047.700000003</c:v>
                </c:pt>
                <c:pt idx="17">
                  <c:v>100046860.24000001</c:v>
                </c:pt>
                <c:pt idx="18">
                  <c:v>100431993.52000001</c:v>
                </c:pt>
                <c:pt idx="19">
                  <c:v>100544241.55000001</c:v>
                </c:pt>
                <c:pt idx="20">
                  <c:v>100877234.91000001</c:v>
                </c:pt>
                <c:pt idx="21">
                  <c:v>100877234.91000001</c:v>
                </c:pt>
                <c:pt idx="22">
                  <c:v>100877234.91000001</c:v>
                </c:pt>
                <c:pt idx="23">
                  <c:v>100877234.91000001</c:v>
                </c:pt>
                <c:pt idx="24">
                  <c:v>100877234.91000001</c:v>
                </c:pt>
                <c:pt idx="25">
                  <c:v>100877234.91000001</c:v>
                </c:pt>
                <c:pt idx="26">
                  <c:v>100877234.91000001</c:v>
                </c:pt>
                <c:pt idx="27">
                  <c:v>100877234.91000001</c:v>
                </c:pt>
                <c:pt idx="28">
                  <c:v>100877234.91000001</c:v>
                </c:pt>
                <c:pt idx="29">
                  <c:v>100877234.91000001</c:v>
                </c:pt>
                <c:pt idx="30">
                  <c:v>100877234.91000001</c:v>
                </c:pt>
                <c:pt idx="31">
                  <c:v>100877234.91000001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73-44BE-AAF7-E8D2C4189271}"/>
            </c:ext>
          </c:extLst>
        </c:ser>
        <c:ser>
          <c:idx val="2"/>
          <c:order val="2"/>
          <c:tx>
            <c:v>3 Year Average 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Raisins'!$L$9:$L$45</c:f>
              <c:numCache>
                <c:formatCode>#,##0</c:formatCode>
                <c:ptCount val="32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  <c:pt idx="11">
                  <c:v>76811852.180000007</c:v>
                </c:pt>
                <c:pt idx="12">
                  <c:v>79008126.280000001</c:v>
                </c:pt>
                <c:pt idx="13">
                  <c:v>80591194.060000002</c:v>
                </c:pt>
                <c:pt idx="14">
                  <c:v>82173815.909999996</c:v>
                </c:pt>
                <c:pt idx="15">
                  <c:v>82959180.090000004</c:v>
                </c:pt>
                <c:pt idx="16">
                  <c:v>83914851.810000002</c:v>
                </c:pt>
                <c:pt idx="17">
                  <c:v>84558670.569999993</c:v>
                </c:pt>
                <c:pt idx="18">
                  <c:v>84778633.079999998</c:v>
                </c:pt>
                <c:pt idx="19">
                  <c:v>84824078.420000002</c:v>
                </c:pt>
                <c:pt idx="20">
                  <c:v>85851179.480000004</c:v>
                </c:pt>
                <c:pt idx="21">
                  <c:v>85851179.480000004</c:v>
                </c:pt>
                <c:pt idx="22">
                  <c:v>85851179.480000004</c:v>
                </c:pt>
                <c:pt idx="23">
                  <c:v>85851179.480000004</c:v>
                </c:pt>
                <c:pt idx="24">
                  <c:v>85851179.480000004</c:v>
                </c:pt>
                <c:pt idx="25">
                  <c:v>85851179.480000004</c:v>
                </c:pt>
                <c:pt idx="26">
                  <c:v>85851179.480000004</c:v>
                </c:pt>
                <c:pt idx="27">
                  <c:v>85851179.480000004</c:v>
                </c:pt>
                <c:pt idx="28">
                  <c:v>85851179.480000004</c:v>
                </c:pt>
                <c:pt idx="29">
                  <c:v>85851179.480000004</c:v>
                </c:pt>
                <c:pt idx="30">
                  <c:v>85851179.480000004</c:v>
                </c:pt>
                <c:pt idx="31">
                  <c:v>85851179.480000004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73-44BE-AAF7-E8D2C4189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6143"/>
        <c:axId val="1377663"/>
      </c:lineChart>
      <c:catAx>
        <c:axId val="1366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77663"/>
        <c:crosses val="autoZero"/>
        <c:auto val="1"/>
        <c:lblAlgn val="ctr"/>
        <c:lblOffset val="100"/>
        <c:noMultiLvlLbl val="0"/>
      </c:catAx>
      <c:valAx>
        <c:axId val="1377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 sz="1200" b="1" i="0" u="none" strike="noStrike" kern="1200" spc="0" baseline="0" dirty="0">
                <a:solidFill>
                  <a:srgbClr val="000000">
                    <a:lumMod val="65000"/>
                    <a:lumOff val="35000"/>
                  </a:srgbClr>
                </a:solidFill>
              </a:rPr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Raisins'!$G$60:$G$96</c:f>
              <c:numCache>
                <c:formatCode>#,##0</c:formatCode>
                <c:ptCount val="32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46250353.209999993</c:v>
                </c:pt>
                <c:pt idx="7">
                  <c:v>55404347.75999999</c:v>
                </c:pt>
                <c:pt idx="8">
                  <c:v>64306088.339999989</c:v>
                </c:pt>
                <c:pt idx="9">
                  <c:v>68939281.609999985</c:v>
                </c:pt>
                <c:pt idx="10">
                  <c:v>70575730.649999991</c:v>
                </c:pt>
                <c:pt idx="11">
                  <c:v>72518124.649999991</c:v>
                </c:pt>
                <c:pt idx="12">
                  <c:v>75114443.479999989</c:v>
                </c:pt>
                <c:pt idx="13">
                  <c:v>76192712.479999989</c:v>
                </c:pt>
                <c:pt idx="14">
                  <c:v>76665754.979999989</c:v>
                </c:pt>
                <c:pt idx="15">
                  <c:v>77599786.479999989</c:v>
                </c:pt>
                <c:pt idx="16">
                  <c:v>77779977.979999989</c:v>
                </c:pt>
                <c:pt idx="17">
                  <c:v>78244487.979999989</c:v>
                </c:pt>
                <c:pt idx="18">
                  <c:v>78947773.979999989</c:v>
                </c:pt>
                <c:pt idx="19">
                  <c:v>79772920.479999989</c:v>
                </c:pt>
                <c:pt idx="20">
                  <c:v>80033675.779999986</c:v>
                </c:pt>
                <c:pt idx="21">
                  <c:v>80407713.979999989</c:v>
                </c:pt>
                <c:pt idx="22">
                  <c:v>80514479.779999986</c:v>
                </c:pt>
                <c:pt idx="23">
                  <c:v>80581513.279999986</c:v>
                </c:pt>
                <c:pt idx="24">
                  <c:v>80458910.279999986</c:v>
                </c:pt>
                <c:pt idx="25">
                  <c:v>80470671.279999986</c:v>
                </c:pt>
                <c:pt idx="26">
                  <c:v>80633172.279999986</c:v>
                </c:pt>
                <c:pt idx="27">
                  <c:v>80686536.279999986</c:v>
                </c:pt>
                <c:pt idx="28">
                  <c:v>80707386.279999986</c:v>
                </c:pt>
                <c:pt idx="29">
                  <c:v>80798833.279999986</c:v>
                </c:pt>
                <c:pt idx="30">
                  <c:v>80798833.279999986</c:v>
                </c:pt>
                <c:pt idx="31">
                  <c:v>80890439.779999986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F-4A03-B956-CC6F1BE260B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Raisins'!$I$60:$I$96</c:f>
              <c:numCache>
                <c:formatCode>#,##0</c:formatCode>
                <c:ptCount val="32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  <c:pt idx="11">
                  <c:v>68748280.700000003</c:v>
                </c:pt>
                <c:pt idx="12">
                  <c:v>72617310.730000004</c:v>
                </c:pt>
                <c:pt idx="13">
                  <c:v>74812805.730000004</c:v>
                </c:pt>
                <c:pt idx="14">
                  <c:v>78526571.730000004</c:v>
                </c:pt>
                <c:pt idx="15">
                  <c:v>80033826.980000004</c:v>
                </c:pt>
                <c:pt idx="16">
                  <c:v>81421712.270000011</c:v>
                </c:pt>
                <c:pt idx="17">
                  <c:v>82388268.280000016</c:v>
                </c:pt>
                <c:pt idx="18">
                  <c:v>82745810.060000017</c:v>
                </c:pt>
                <c:pt idx="19">
                  <c:v>82858058.090000018</c:v>
                </c:pt>
                <c:pt idx="20">
                  <c:v>82907218.430000022</c:v>
                </c:pt>
                <c:pt idx="21">
                  <c:v>82907218.430000022</c:v>
                </c:pt>
                <c:pt idx="22">
                  <c:v>82907218.430000022</c:v>
                </c:pt>
                <c:pt idx="23">
                  <c:v>82907218.430000022</c:v>
                </c:pt>
                <c:pt idx="24">
                  <c:v>82907218.430000022</c:v>
                </c:pt>
                <c:pt idx="25">
                  <c:v>82907218.430000022</c:v>
                </c:pt>
                <c:pt idx="26">
                  <c:v>82907218.430000022</c:v>
                </c:pt>
                <c:pt idx="27">
                  <c:v>82907218.430000022</c:v>
                </c:pt>
                <c:pt idx="28">
                  <c:v>82907218.430000022</c:v>
                </c:pt>
                <c:pt idx="29">
                  <c:v>82907218.430000022</c:v>
                </c:pt>
                <c:pt idx="30">
                  <c:v>82907218.430000022</c:v>
                </c:pt>
                <c:pt idx="31">
                  <c:v>82907218.430000022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6F-4A03-B956-CC6F1BE260B5}"/>
            </c:ext>
          </c:extLst>
        </c:ser>
        <c:ser>
          <c:idx val="2"/>
          <c:order val="2"/>
          <c:tx>
            <c:v>3 Year Average 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Raisins'!$L$60:$L$96</c:f>
              <c:numCache>
                <c:formatCode>#,##0</c:formatCode>
                <c:ptCount val="32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  <c:pt idx="11">
                  <c:v>62335611.869999997</c:v>
                </c:pt>
                <c:pt idx="12">
                  <c:v>64091713.130000003</c:v>
                </c:pt>
                <c:pt idx="13">
                  <c:v>65231277.880000003</c:v>
                </c:pt>
                <c:pt idx="14">
                  <c:v>66609744.539999999</c:v>
                </c:pt>
                <c:pt idx="15">
                  <c:v>67212083.040000007</c:v>
                </c:pt>
                <c:pt idx="16">
                  <c:v>67899569.579999998</c:v>
                </c:pt>
                <c:pt idx="17">
                  <c:v>68328959</c:v>
                </c:pt>
                <c:pt idx="18">
                  <c:v>68431045.170000002</c:v>
                </c:pt>
                <c:pt idx="19">
                  <c:v>68476490.420000002</c:v>
                </c:pt>
                <c:pt idx="20">
                  <c:v>69038520.930000007</c:v>
                </c:pt>
                <c:pt idx="21">
                  <c:v>69038520.930000007</c:v>
                </c:pt>
                <c:pt idx="22">
                  <c:v>69038520.930000007</c:v>
                </c:pt>
                <c:pt idx="23">
                  <c:v>69038520.930000007</c:v>
                </c:pt>
                <c:pt idx="24">
                  <c:v>69038520.930000007</c:v>
                </c:pt>
                <c:pt idx="25">
                  <c:v>69038520.930000007</c:v>
                </c:pt>
                <c:pt idx="26">
                  <c:v>69038520.930000007</c:v>
                </c:pt>
                <c:pt idx="27">
                  <c:v>69038520.930000007</c:v>
                </c:pt>
                <c:pt idx="28">
                  <c:v>69038520.930000007</c:v>
                </c:pt>
                <c:pt idx="29">
                  <c:v>69038520.930000007</c:v>
                </c:pt>
                <c:pt idx="30">
                  <c:v>69038520.930000007</c:v>
                </c:pt>
                <c:pt idx="31">
                  <c:v>69038520.930000007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6F-4A03-B956-CC6F1BE26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6143"/>
        <c:axId val="1377663"/>
      </c:lineChart>
      <c:catAx>
        <c:axId val="1366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77663"/>
        <c:crosses val="autoZero"/>
        <c:auto val="1"/>
        <c:lblAlgn val="ctr"/>
        <c:lblOffset val="100"/>
        <c:noMultiLvlLbl val="0"/>
      </c:catAx>
      <c:valAx>
        <c:axId val="1377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 sz="1200" b="1" i="0" u="none" strike="noStrike" kern="1200" spc="0" baseline="0" dirty="0">
                <a:solidFill>
                  <a:srgbClr val="000000">
                    <a:lumMod val="65000"/>
                    <a:lumOff val="35000"/>
                  </a:srgbClr>
                </a:solidFill>
              </a:rPr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Raisins'!$G$111:$G$147</c:f>
              <c:numCache>
                <c:formatCode>#,##0</c:formatCode>
                <c:ptCount val="32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  <c:pt idx="11">
                  <c:v>15271920.93</c:v>
                </c:pt>
                <c:pt idx="12">
                  <c:v>15945127.5</c:v>
                </c:pt>
                <c:pt idx="13">
                  <c:v>16344338.109999999</c:v>
                </c:pt>
                <c:pt idx="14">
                  <c:v>16601375.649999999</c:v>
                </c:pt>
                <c:pt idx="15">
                  <c:v>16849346.149999999</c:v>
                </c:pt>
                <c:pt idx="16">
                  <c:v>16857678.149999999</c:v>
                </c:pt>
                <c:pt idx="17">
                  <c:v>16865706.399999999</c:v>
                </c:pt>
                <c:pt idx="18">
                  <c:v>17041717.91</c:v>
                </c:pt>
                <c:pt idx="19">
                  <c:v>17071012.399999999</c:v>
                </c:pt>
                <c:pt idx="20">
                  <c:v>17071012.399999999</c:v>
                </c:pt>
                <c:pt idx="21">
                  <c:v>17071012.399999999</c:v>
                </c:pt>
                <c:pt idx="22">
                  <c:v>17071012.399999999</c:v>
                </c:pt>
                <c:pt idx="23">
                  <c:v>17071012.399999999</c:v>
                </c:pt>
                <c:pt idx="24">
                  <c:v>18194600.399999999</c:v>
                </c:pt>
                <c:pt idx="25">
                  <c:v>18194600.399999999</c:v>
                </c:pt>
                <c:pt idx="26">
                  <c:v>18194600.399999999</c:v>
                </c:pt>
                <c:pt idx="27">
                  <c:v>18194600.399999999</c:v>
                </c:pt>
                <c:pt idx="28">
                  <c:v>18194600.399999999</c:v>
                </c:pt>
                <c:pt idx="29">
                  <c:v>18194600.399999999</c:v>
                </c:pt>
                <c:pt idx="30">
                  <c:v>18194600.399999999</c:v>
                </c:pt>
                <c:pt idx="31">
                  <c:v>18194600.399999999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7A-4C56-B1D3-8997A1DECCD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Raisins'!$I$111:$I$147</c:f>
              <c:numCache>
                <c:formatCode>#,##0</c:formatCode>
                <c:ptCount val="32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  <c:pt idx="11">
                  <c:v>13388381.9</c:v>
                </c:pt>
                <c:pt idx="12">
                  <c:v>13896491.91</c:v>
                </c:pt>
                <c:pt idx="13">
                  <c:v>14604785.960000001</c:v>
                </c:pt>
                <c:pt idx="14">
                  <c:v>15073565.030000001</c:v>
                </c:pt>
                <c:pt idx="15">
                  <c:v>15429141.560000001</c:v>
                </c:pt>
                <c:pt idx="16">
                  <c:v>15618145.6</c:v>
                </c:pt>
                <c:pt idx="17">
                  <c:v>15658543.109999999</c:v>
                </c:pt>
                <c:pt idx="18">
                  <c:v>15686134.609999999</c:v>
                </c:pt>
                <c:pt idx="19">
                  <c:v>15686134.609999999</c:v>
                </c:pt>
                <c:pt idx="20">
                  <c:v>15969967.629999999</c:v>
                </c:pt>
                <c:pt idx="21">
                  <c:v>15969967.629999999</c:v>
                </c:pt>
                <c:pt idx="22">
                  <c:v>15969967.629999999</c:v>
                </c:pt>
                <c:pt idx="23">
                  <c:v>15969967.629999999</c:v>
                </c:pt>
                <c:pt idx="24">
                  <c:v>15969967.629999999</c:v>
                </c:pt>
                <c:pt idx="25">
                  <c:v>15969967.629999999</c:v>
                </c:pt>
                <c:pt idx="26">
                  <c:v>15969967.629999999</c:v>
                </c:pt>
                <c:pt idx="27">
                  <c:v>15969967.629999999</c:v>
                </c:pt>
                <c:pt idx="28">
                  <c:v>15969967.629999999</c:v>
                </c:pt>
                <c:pt idx="29">
                  <c:v>15969967.629999999</c:v>
                </c:pt>
                <c:pt idx="30">
                  <c:v>15969967.629999999</c:v>
                </c:pt>
                <c:pt idx="31">
                  <c:v>15969967.629999999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7A-4C56-B1D3-8997A1DECCDB}"/>
            </c:ext>
          </c:extLst>
        </c:ser>
        <c:ser>
          <c:idx val="2"/>
          <c:order val="2"/>
          <c:tx>
            <c:v>3 Year Average 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Raisins'!$L$111:$L$147</c:f>
              <c:numCache>
                <c:formatCode>#,##0</c:formatCode>
                <c:ptCount val="32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  <c:pt idx="11">
                  <c:v>12160668.880000001</c:v>
                </c:pt>
                <c:pt idx="12">
                  <c:v>12589803.550000001</c:v>
                </c:pt>
                <c:pt idx="13">
                  <c:v>13029056.74</c:v>
                </c:pt>
                <c:pt idx="14">
                  <c:v>13228146.76</c:v>
                </c:pt>
                <c:pt idx="15">
                  <c:v>13405002.109999999</c:v>
                </c:pt>
                <c:pt idx="16">
                  <c:v>13665925.289999999</c:v>
                </c:pt>
                <c:pt idx="17">
                  <c:v>13872401.619999999</c:v>
                </c:pt>
                <c:pt idx="18">
                  <c:v>13990277.960000001</c:v>
                </c:pt>
                <c:pt idx="19">
                  <c:v>13990277.960000001</c:v>
                </c:pt>
                <c:pt idx="20">
                  <c:v>14455348.609999999</c:v>
                </c:pt>
                <c:pt idx="21">
                  <c:v>14455348.609999999</c:v>
                </c:pt>
                <c:pt idx="22">
                  <c:v>14455348.609999999</c:v>
                </c:pt>
                <c:pt idx="23">
                  <c:v>14455348.609999999</c:v>
                </c:pt>
                <c:pt idx="24">
                  <c:v>14455348.609999999</c:v>
                </c:pt>
                <c:pt idx="25">
                  <c:v>14455348.609999999</c:v>
                </c:pt>
                <c:pt idx="26">
                  <c:v>14455348.609999999</c:v>
                </c:pt>
                <c:pt idx="27">
                  <c:v>14455348.609999999</c:v>
                </c:pt>
                <c:pt idx="28">
                  <c:v>14455348.609999999</c:v>
                </c:pt>
                <c:pt idx="29">
                  <c:v>14455348.609999999</c:v>
                </c:pt>
                <c:pt idx="30">
                  <c:v>14455348.609999999</c:v>
                </c:pt>
                <c:pt idx="31">
                  <c:v>14455348.609999999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7A-4C56-B1D3-8997A1DEC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6143"/>
        <c:axId val="1377663"/>
      </c:lineChart>
      <c:catAx>
        <c:axId val="1366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77663"/>
        <c:crosses val="autoZero"/>
        <c:auto val="1"/>
        <c:lblAlgn val="ctr"/>
        <c:lblOffset val="100"/>
        <c:noMultiLvlLbl val="0"/>
      </c:catAx>
      <c:valAx>
        <c:axId val="1377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 sz="1200" b="1" i="0" u="none" strike="noStrike" kern="1200" spc="0" baseline="0" dirty="0">
                <a:solidFill>
                  <a:srgbClr val="000000">
                    <a:lumMod val="65000"/>
                    <a:lumOff val="35000"/>
                  </a:srgbClr>
                </a:solidFill>
              </a:rPr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Raisins'!$G$162:$G$198</c:f>
              <c:numCache>
                <c:formatCode>#,##0</c:formatCode>
                <c:ptCount val="32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  <c:pt idx="11">
                  <c:v>1981354.08</c:v>
                </c:pt>
                <c:pt idx="12">
                  <c:v>2002032.08</c:v>
                </c:pt>
                <c:pt idx="13">
                  <c:v>2002032.08</c:v>
                </c:pt>
                <c:pt idx="14">
                  <c:v>2002032.08</c:v>
                </c:pt>
                <c:pt idx="15">
                  <c:v>2002032.08</c:v>
                </c:pt>
                <c:pt idx="16">
                  <c:v>2002032.08</c:v>
                </c:pt>
                <c:pt idx="17">
                  <c:v>2002032.08</c:v>
                </c:pt>
                <c:pt idx="18">
                  <c:v>2002032.08</c:v>
                </c:pt>
                <c:pt idx="19">
                  <c:v>2002032.08</c:v>
                </c:pt>
                <c:pt idx="20">
                  <c:v>2002032.08</c:v>
                </c:pt>
                <c:pt idx="21">
                  <c:v>2002032.08</c:v>
                </c:pt>
                <c:pt idx="22">
                  <c:v>2002032.08</c:v>
                </c:pt>
                <c:pt idx="23">
                  <c:v>2002032.08</c:v>
                </c:pt>
                <c:pt idx="24">
                  <c:v>2002032.08</c:v>
                </c:pt>
                <c:pt idx="25">
                  <c:v>2002032.08</c:v>
                </c:pt>
                <c:pt idx="26">
                  <c:v>2002032.08</c:v>
                </c:pt>
                <c:pt idx="27">
                  <c:v>2002032.08</c:v>
                </c:pt>
                <c:pt idx="28">
                  <c:v>2002032.08</c:v>
                </c:pt>
                <c:pt idx="29">
                  <c:v>2002032.08</c:v>
                </c:pt>
                <c:pt idx="30">
                  <c:v>2002032.08</c:v>
                </c:pt>
                <c:pt idx="31">
                  <c:v>2002032.08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6D-4832-AC68-8A12DEE8636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Raisins'!$I$162:$I$198</c:f>
              <c:numCache>
                <c:formatCode>#,##0</c:formatCode>
                <c:ptCount val="32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  <c:pt idx="11">
                  <c:v>1915608</c:v>
                </c:pt>
                <c:pt idx="12">
                  <c:v>1923143.31</c:v>
                </c:pt>
                <c:pt idx="13">
                  <c:v>1935892.82</c:v>
                </c:pt>
                <c:pt idx="14">
                  <c:v>1935892.82</c:v>
                </c:pt>
                <c:pt idx="15">
                  <c:v>1954403.83</c:v>
                </c:pt>
                <c:pt idx="16">
                  <c:v>1976189.83</c:v>
                </c:pt>
                <c:pt idx="17">
                  <c:v>2000048.85</c:v>
                </c:pt>
                <c:pt idx="18">
                  <c:v>2000048.85</c:v>
                </c:pt>
                <c:pt idx="19">
                  <c:v>2000048.85</c:v>
                </c:pt>
                <c:pt idx="20">
                  <c:v>2000048.85</c:v>
                </c:pt>
                <c:pt idx="21">
                  <c:v>2000048.85</c:v>
                </c:pt>
                <c:pt idx="22">
                  <c:v>2000048.85</c:v>
                </c:pt>
                <c:pt idx="23">
                  <c:v>2000048.85</c:v>
                </c:pt>
                <c:pt idx="24">
                  <c:v>2000048.85</c:v>
                </c:pt>
                <c:pt idx="25">
                  <c:v>2000048.85</c:v>
                </c:pt>
                <c:pt idx="26">
                  <c:v>2000048.85</c:v>
                </c:pt>
                <c:pt idx="27">
                  <c:v>2000048.85</c:v>
                </c:pt>
                <c:pt idx="28">
                  <c:v>2000048.85</c:v>
                </c:pt>
                <c:pt idx="29">
                  <c:v>2000048.85</c:v>
                </c:pt>
                <c:pt idx="30">
                  <c:v>2000048.85</c:v>
                </c:pt>
                <c:pt idx="31">
                  <c:v>2000048.85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D-4832-AC68-8A12DEE8636E}"/>
            </c:ext>
          </c:extLst>
        </c:ser>
        <c:ser>
          <c:idx val="2"/>
          <c:order val="2"/>
          <c:tx>
            <c:v>3 Year Average 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'Total Raisins'!$L$162:$L$198</c:f>
              <c:numCache>
                <c:formatCode>#,##0</c:formatCode>
                <c:ptCount val="32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  <c:pt idx="11">
                  <c:v>2315571.4300000002</c:v>
                </c:pt>
                <c:pt idx="12">
                  <c:v>2326609.6</c:v>
                </c:pt>
                <c:pt idx="13">
                  <c:v>2330859.44</c:v>
                </c:pt>
                <c:pt idx="14">
                  <c:v>2335924.61</c:v>
                </c:pt>
                <c:pt idx="15">
                  <c:v>2342094.94</c:v>
                </c:pt>
                <c:pt idx="16">
                  <c:v>2349356.94</c:v>
                </c:pt>
                <c:pt idx="17">
                  <c:v>2357309.85</c:v>
                </c:pt>
                <c:pt idx="18">
                  <c:v>2357309.9500000002</c:v>
                </c:pt>
                <c:pt idx="19">
                  <c:v>2357309.9500000002</c:v>
                </c:pt>
                <c:pt idx="20">
                  <c:v>2357309.9500000002</c:v>
                </c:pt>
                <c:pt idx="21">
                  <c:v>2357309.9500000002</c:v>
                </c:pt>
                <c:pt idx="22">
                  <c:v>2357309.9500000002</c:v>
                </c:pt>
                <c:pt idx="23">
                  <c:v>2357309.9500000002</c:v>
                </c:pt>
                <c:pt idx="24">
                  <c:v>2357309.9500000002</c:v>
                </c:pt>
                <c:pt idx="25">
                  <c:v>2357309.9500000002</c:v>
                </c:pt>
                <c:pt idx="26">
                  <c:v>2357309.9500000002</c:v>
                </c:pt>
                <c:pt idx="27">
                  <c:v>2357309.9500000002</c:v>
                </c:pt>
                <c:pt idx="28">
                  <c:v>2357309.9500000002</c:v>
                </c:pt>
                <c:pt idx="29">
                  <c:v>2357309.9500000002</c:v>
                </c:pt>
                <c:pt idx="30">
                  <c:v>2357309.9500000002</c:v>
                </c:pt>
                <c:pt idx="31">
                  <c:v>2357309.9500000002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D-4832-AC68-8A12DEE86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6143"/>
        <c:axId val="1377663"/>
      </c:lineChart>
      <c:catAx>
        <c:axId val="1366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77663"/>
        <c:crosses val="autoZero"/>
        <c:auto val="1"/>
        <c:lblAlgn val="ctr"/>
        <c:lblOffset val="100"/>
        <c:noMultiLvlLbl val="0"/>
      </c:catAx>
      <c:valAx>
        <c:axId val="1377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ZA"/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Thompsons!$G$9:$G$45</c:f>
              <c:numCache>
                <c:formatCode>#,##0</c:formatCode>
                <c:ptCount val="32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35199286.819999993</c:v>
                </c:pt>
                <c:pt idx="7">
                  <c:v>42384122.419999994</c:v>
                </c:pt>
                <c:pt idx="8">
                  <c:v>49306891.959999993</c:v>
                </c:pt>
                <c:pt idx="9">
                  <c:v>53473151.179999992</c:v>
                </c:pt>
                <c:pt idx="10">
                  <c:v>54902514.709999993</c:v>
                </c:pt>
                <c:pt idx="11">
                  <c:v>56321818.799999997</c:v>
                </c:pt>
                <c:pt idx="12">
                  <c:v>58077519.629999995</c:v>
                </c:pt>
                <c:pt idx="13">
                  <c:v>58799337.659999996</c:v>
                </c:pt>
                <c:pt idx="14">
                  <c:v>59074454.18</c:v>
                </c:pt>
                <c:pt idx="15">
                  <c:v>59839777.18</c:v>
                </c:pt>
                <c:pt idx="16">
                  <c:v>59884561.68</c:v>
                </c:pt>
                <c:pt idx="17">
                  <c:v>59967255.93</c:v>
                </c:pt>
                <c:pt idx="18">
                  <c:v>60198553.939999998</c:v>
                </c:pt>
                <c:pt idx="19">
                  <c:v>60357555.43</c:v>
                </c:pt>
                <c:pt idx="20">
                  <c:v>60395528.43</c:v>
                </c:pt>
                <c:pt idx="21">
                  <c:v>60469700.43</c:v>
                </c:pt>
                <c:pt idx="22">
                  <c:v>60560445.329999998</c:v>
                </c:pt>
                <c:pt idx="23">
                  <c:v>60592633.829999998</c:v>
                </c:pt>
                <c:pt idx="24">
                  <c:v>61396931.829999998</c:v>
                </c:pt>
                <c:pt idx="25">
                  <c:v>61408692.829999998</c:v>
                </c:pt>
                <c:pt idx="26">
                  <c:v>61409570.829999998</c:v>
                </c:pt>
                <c:pt idx="27">
                  <c:v>61412699.829999998</c:v>
                </c:pt>
                <c:pt idx="28">
                  <c:v>61429229.829999998</c:v>
                </c:pt>
                <c:pt idx="29">
                  <c:v>61486059.329999998</c:v>
                </c:pt>
                <c:pt idx="30">
                  <c:v>61486059.329999998</c:v>
                </c:pt>
                <c:pt idx="31">
                  <c:v>61487027.329999998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Thompsons!$I$9:$I$45</c:f>
              <c:numCache>
                <c:formatCode>#,##0</c:formatCode>
                <c:ptCount val="32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  <c:pt idx="11">
                  <c:v>49346402.640000001</c:v>
                </c:pt>
                <c:pt idx="12">
                  <c:v>52132708.409999996</c:v>
                </c:pt>
                <c:pt idx="13">
                  <c:v>53744140.43</c:v>
                </c:pt>
                <c:pt idx="14">
                  <c:v>56304864.229999997</c:v>
                </c:pt>
                <c:pt idx="15">
                  <c:v>57443846.009999998</c:v>
                </c:pt>
                <c:pt idx="16">
                  <c:v>57996437.280000001</c:v>
                </c:pt>
                <c:pt idx="17">
                  <c:v>58618253.060000002</c:v>
                </c:pt>
                <c:pt idx="18">
                  <c:v>58715011.310000002</c:v>
                </c:pt>
                <c:pt idx="19">
                  <c:v>58735666.810000002</c:v>
                </c:pt>
                <c:pt idx="20">
                  <c:v>58733343.230000004</c:v>
                </c:pt>
                <c:pt idx="21">
                  <c:v>58731019.650000006</c:v>
                </c:pt>
                <c:pt idx="22">
                  <c:v>58728696.070000008</c:v>
                </c:pt>
                <c:pt idx="23">
                  <c:v>58726372.49000001</c:v>
                </c:pt>
                <c:pt idx="24">
                  <c:v>58724048.910000011</c:v>
                </c:pt>
                <c:pt idx="25">
                  <c:v>58721725.330000013</c:v>
                </c:pt>
                <c:pt idx="26">
                  <c:v>58719401.750000015</c:v>
                </c:pt>
                <c:pt idx="27">
                  <c:v>58717078.170000017</c:v>
                </c:pt>
                <c:pt idx="28">
                  <c:v>58714754.590000018</c:v>
                </c:pt>
                <c:pt idx="29">
                  <c:v>58712431.01000002</c:v>
                </c:pt>
                <c:pt idx="30">
                  <c:v>58712431.01000002</c:v>
                </c:pt>
                <c:pt idx="31">
                  <c:v>58712431.01000002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Thompsons!$G$60:$G$96</c:f>
              <c:numCache>
                <c:formatCode>#,##0</c:formatCode>
                <c:ptCount val="32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30290659.490000002</c:v>
                </c:pt>
                <c:pt idx="7">
                  <c:v>35824315.510000005</c:v>
                </c:pt>
                <c:pt idx="8">
                  <c:v>40890427.020000003</c:v>
                </c:pt>
                <c:pt idx="9">
                  <c:v>43495255.730000004</c:v>
                </c:pt>
                <c:pt idx="10">
                  <c:v>44627738.240000002</c:v>
                </c:pt>
                <c:pt idx="11">
                  <c:v>45747742.740000002</c:v>
                </c:pt>
                <c:pt idx="12">
                  <c:v>47250914.07</c:v>
                </c:pt>
                <c:pt idx="13">
                  <c:v>47767996.07</c:v>
                </c:pt>
                <c:pt idx="14">
                  <c:v>47888449.07</c:v>
                </c:pt>
                <c:pt idx="15">
                  <c:v>48469706.57</c:v>
                </c:pt>
                <c:pt idx="16">
                  <c:v>48513210.57</c:v>
                </c:pt>
                <c:pt idx="17">
                  <c:v>48588848.07</c:v>
                </c:pt>
                <c:pt idx="18">
                  <c:v>48702211.57</c:v>
                </c:pt>
                <c:pt idx="19">
                  <c:v>48855211.07</c:v>
                </c:pt>
                <c:pt idx="20">
                  <c:v>48893184.07</c:v>
                </c:pt>
                <c:pt idx="21">
                  <c:v>48967356.07</c:v>
                </c:pt>
                <c:pt idx="22">
                  <c:v>49058100.969999999</c:v>
                </c:pt>
                <c:pt idx="23">
                  <c:v>49090289.469999999</c:v>
                </c:pt>
                <c:pt idx="24">
                  <c:v>48929342.469999999</c:v>
                </c:pt>
                <c:pt idx="25">
                  <c:v>48941103.469999999</c:v>
                </c:pt>
                <c:pt idx="26">
                  <c:v>48941981.469999999</c:v>
                </c:pt>
                <c:pt idx="27">
                  <c:v>48945110.469999999</c:v>
                </c:pt>
                <c:pt idx="28">
                  <c:v>48961640.469999999</c:v>
                </c:pt>
                <c:pt idx="29">
                  <c:v>49018469.969999999</c:v>
                </c:pt>
                <c:pt idx="30">
                  <c:v>49018469.969999999</c:v>
                </c:pt>
                <c:pt idx="31">
                  <c:v>49019437.969999999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Thompsons!$I$60:$I$96</c:f>
              <c:numCache>
                <c:formatCode>#,##0</c:formatCode>
                <c:ptCount val="32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  <c:pt idx="11">
                  <c:v>40336703.579999998</c:v>
                </c:pt>
                <c:pt idx="12">
                  <c:v>42687037.840000004</c:v>
                </c:pt>
                <c:pt idx="13">
                  <c:v>43858762.340000004</c:v>
                </c:pt>
                <c:pt idx="14">
                  <c:v>46147146.090000004</c:v>
                </c:pt>
                <c:pt idx="15">
                  <c:v>46956587.340000004</c:v>
                </c:pt>
                <c:pt idx="16">
                  <c:v>47371958.590000004</c:v>
                </c:pt>
                <c:pt idx="17">
                  <c:v>47939843.840000004</c:v>
                </c:pt>
                <c:pt idx="18">
                  <c:v>48019001.090000004</c:v>
                </c:pt>
                <c:pt idx="19">
                  <c:v>48039656.590000004</c:v>
                </c:pt>
                <c:pt idx="20">
                  <c:v>48034871.010000005</c:v>
                </c:pt>
                <c:pt idx="21">
                  <c:v>48034871.010000005</c:v>
                </c:pt>
                <c:pt idx="22">
                  <c:v>48034871.010000005</c:v>
                </c:pt>
                <c:pt idx="23">
                  <c:v>48034871.010000005</c:v>
                </c:pt>
                <c:pt idx="24">
                  <c:v>48032547.430000007</c:v>
                </c:pt>
                <c:pt idx="25">
                  <c:v>48030223.850000009</c:v>
                </c:pt>
                <c:pt idx="26">
                  <c:v>48027900.270000011</c:v>
                </c:pt>
                <c:pt idx="27">
                  <c:v>48025576.690000013</c:v>
                </c:pt>
                <c:pt idx="28">
                  <c:v>48023253.110000014</c:v>
                </c:pt>
                <c:pt idx="29">
                  <c:v>48020929.530000016</c:v>
                </c:pt>
                <c:pt idx="30">
                  <c:v>48020929.530000016</c:v>
                </c:pt>
                <c:pt idx="31">
                  <c:v>48020929.530000016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Thompsons!$G$111:$G$147</c:f>
              <c:numCache>
                <c:formatCode>#,##0</c:formatCode>
                <c:ptCount val="32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  <c:pt idx="11">
                  <c:v>10004798.560000001</c:v>
                </c:pt>
                <c:pt idx="12">
                  <c:v>10252929.060000001</c:v>
                </c:pt>
                <c:pt idx="13">
                  <c:v>10457665.09</c:v>
                </c:pt>
                <c:pt idx="14">
                  <c:v>10612328.609999999</c:v>
                </c:pt>
                <c:pt idx="15">
                  <c:v>10796394.109999999</c:v>
                </c:pt>
                <c:pt idx="16">
                  <c:v>10797674.609999999</c:v>
                </c:pt>
                <c:pt idx="17">
                  <c:v>10804731.359999999</c:v>
                </c:pt>
                <c:pt idx="18">
                  <c:v>10922665.869999999</c:v>
                </c:pt>
                <c:pt idx="19">
                  <c:v>10928667.859999999</c:v>
                </c:pt>
                <c:pt idx="20">
                  <c:v>10928667.859999999</c:v>
                </c:pt>
                <c:pt idx="21">
                  <c:v>10928667.859999999</c:v>
                </c:pt>
                <c:pt idx="22">
                  <c:v>10928667.859999999</c:v>
                </c:pt>
                <c:pt idx="23">
                  <c:v>10928667.859999999</c:v>
                </c:pt>
                <c:pt idx="24">
                  <c:v>11893912.859999999</c:v>
                </c:pt>
                <c:pt idx="25">
                  <c:v>11893912.859999999</c:v>
                </c:pt>
                <c:pt idx="26">
                  <c:v>11893912.859999999</c:v>
                </c:pt>
                <c:pt idx="27">
                  <c:v>11893912.859999999</c:v>
                </c:pt>
                <c:pt idx="28">
                  <c:v>11893912.859999999</c:v>
                </c:pt>
                <c:pt idx="29">
                  <c:v>11893912.859999999</c:v>
                </c:pt>
                <c:pt idx="30">
                  <c:v>11893912.859999999</c:v>
                </c:pt>
                <c:pt idx="31">
                  <c:v>11893912.859999999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Thompsons!$I$111:$I$147</c:f>
              <c:numCache>
                <c:formatCode>#,##0</c:formatCode>
                <c:ptCount val="32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  <c:pt idx="11">
                  <c:v>8332238.04</c:v>
                </c:pt>
                <c:pt idx="12">
                  <c:v>8760674.0399999991</c:v>
                </c:pt>
                <c:pt idx="13">
                  <c:v>9187632.0499999989</c:v>
                </c:pt>
                <c:pt idx="14">
                  <c:v>9459972.0999999996</c:v>
                </c:pt>
                <c:pt idx="15">
                  <c:v>9771001.6199999992</c:v>
                </c:pt>
                <c:pt idx="16">
                  <c:v>9907550.6399999987</c:v>
                </c:pt>
                <c:pt idx="17">
                  <c:v>9937622.1499999985</c:v>
                </c:pt>
                <c:pt idx="18">
                  <c:v>9955223.1499999985</c:v>
                </c:pt>
                <c:pt idx="19">
                  <c:v>9955223.1499999985</c:v>
                </c:pt>
                <c:pt idx="20">
                  <c:v>9957685.1499999985</c:v>
                </c:pt>
                <c:pt idx="21">
                  <c:v>9957685.1499999985</c:v>
                </c:pt>
                <c:pt idx="22">
                  <c:v>9957685.1499999985</c:v>
                </c:pt>
                <c:pt idx="23">
                  <c:v>9957685.1499999985</c:v>
                </c:pt>
                <c:pt idx="24">
                  <c:v>9955361.5699999984</c:v>
                </c:pt>
                <c:pt idx="25">
                  <c:v>9953037.9899999984</c:v>
                </c:pt>
                <c:pt idx="26">
                  <c:v>9950714.4099999983</c:v>
                </c:pt>
                <c:pt idx="27">
                  <c:v>9948390.8299999982</c:v>
                </c:pt>
                <c:pt idx="28">
                  <c:v>9946067.2499999981</c:v>
                </c:pt>
                <c:pt idx="29">
                  <c:v>9943743.6699999981</c:v>
                </c:pt>
                <c:pt idx="30">
                  <c:v>9943743.6699999981</c:v>
                </c:pt>
                <c:pt idx="31">
                  <c:v>9943743.6699999981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Thompsons!$G$162:$G$198</c:f>
              <c:numCache>
                <c:formatCode>#,##0</c:formatCode>
                <c:ptCount val="32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  <c:pt idx="11">
                  <c:v>569277.49999999988</c:v>
                </c:pt>
                <c:pt idx="12">
                  <c:v>573676.49999999988</c:v>
                </c:pt>
                <c:pt idx="13">
                  <c:v>573676.49999999988</c:v>
                </c:pt>
                <c:pt idx="14">
                  <c:v>573676.49999999988</c:v>
                </c:pt>
                <c:pt idx="15">
                  <c:v>573676.49999999988</c:v>
                </c:pt>
                <c:pt idx="16">
                  <c:v>573676.49999999988</c:v>
                </c:pt>
                <c:pt idx="17">
                  <c:v>573676.49999999988</c:v>
                </c:pt>
                <c:pt idx="18">
                  <c:v>573676.49999999988</c:v>
                </c:pt>
                <c:pt idx="19">
                  <c:v>573676.49999999988</c:v>
                </c:pt>
                <c:pt idx="20">
                  <c:v>573676.49999999988</c:v>
                </c:pt>
                <c:pt idx="21">
                  <c:v>573676.49999999988</c:v>
                </c:pt>
                <c:pt idx="22">
                  <c:v>573676.49999999988</c:v>
                </c:pt>
                <c:pt idx="23">
                  <c:v>573676.49999999988</c:v>
                </c:pt>
                <c:pt idx="24">
                  <c:v>573676.49999999988</c:v>
                </c:pt>
                <c:pt idx="25">
                  <c:v>573676.49999999988</c:v>
                </c:pt>
                <c:pt idx="26">
                  <c:v>573676.49999999988</c:v>
                </c:pt>
                <c:pt idx="27">
                  <c:v>573676.49999999988</c:v>
                </c:pt>
                <c:pt idx="28">
                  <c:v>573676.49999999988</c:v>
                </c:pt>
                <c:pt idx="29">
                  <c:v>573676.49999999988</c:v>
                </c:pt>
                <c:pt idx="30">
                  <c:v>573676.49999999988</c:v>
                </c:pt>
                <c:pt idx="31">
                  <c:v>573676.49999999988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Thompsons!$I$162:$I$198</c:f>
              <c:numCache>
                <c:formatCode>#,##0</c:formatCode>
                <c:ptCount val="32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  <c:pt idx="11">
                  <c:v>677461.02</c:v>
                </c:pt>
                <c:pt idx="12">
                  <c:v>684996.53</c:v>
                </c:pt>
                <c:pt idx="13">
                  <c:v>697746.04</c:v>
                </c:pt>
                <c:pt idx="14">
                  <c:v>697746.04</c:v>
                </c:pt>
                <c:pt idx="15">
                  <c:v>716257.05</c:v>
                </c:pt>
                <c:pt idx="16">
                  <c:v>716928.05</c:v>
                </c:pt>
                <c:pt idx="17">
                  <c:v>740787.07000000007</c:v>
                </c:pt>
                <c:pt idx="18">
                  <c:v>740787.07000000007</c:v>
                </c:pt>
                <c:pt idx="19">
                  <c:v>740787.07000000007</c:v>
                </c:pt>
                <c:pt idx="20">
                  <c:v>740787.07000000007</c:v>
                </c:pt>
                <c:pt idx="21">
                  <c:v>740787.07000000007</c:v>
                </c:pt>
                <c:pt idx="22">
                  <c:v>740787.07000000007</c:v>
                </c:pt>
                <c:pt idx="23">
                  <c:v>740787.07000000007</c:v>
                </c:pt>
                <c:pt idx="24">
                  <c:v>738463.49000000011</c:v>
                </c:pt>
                <c:pt idx="25">
                  <c:v>736139.91000000015</c:v>
                </c:pt>
                <c:pt idx="26">
                  <c:v>733816.33000000019</c:v>
                </c:pt>
                <c:pt idx="27">
                  <c:v>731492.75000000023</c:v>
                </c:pt>
                <c:pt idx="28">
                  <c:v>729169.17000000027</c:v>
                </c:pt>
                <c:pt idx="29">
                  <c:v>726845.59000000032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Flame!$G$9:$G$45</c:f>
              <c:numCache>
                <c:formatCode>#,##0</c:formatCode>
                <c:ptCount val="32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4723981.6000000006</c:v>
                </c:pt>
                <c:pt idx="7">
                  <c:v>5763408.290000001</c:v>
                </c:pt>
                <c:pt idx="8">
                  <c:v>6789068.9800000004</c:v>
                </c:pt>
                <c:pt idx="9">
                  <c:v>7266686.1400000006</c:v>
                </c:pt>
                <c:pt idx="10">
                  <c:v>7439562.7400000002</c:v>
                </c:pt>
                <c:pt idx="11">
                  <c:v>7764981.2400000002</c:v>
                </c:pt>
                <c:pt idx="12">
                  <c:v>8113288.3100000005</c:v>
                </c:pt>
                <c:pt idx="13">
                  <c:v>8284343.3900000006</c:v>
                </c:pt>
                <c:pt idx="14">
                  <c:v>8360600.4100000001</c:v>
                </c:pt>
                <c:pt idx="15">
                  <c:v>8382113.4100000001</c:v>
                </c:pt>
                <c:pt idx="16">
                  <c:v>8393306.4100000001</c:v>
                </c:pt>
                <c:pt idx="17">
                  <c:v>8400606.9100000001</c:v>
                </c:pt>
                <c:pt idx="18">
                  <c:v>8465309.4100000001</c:v>
                </c:pt>
                <c:pt idx="19">
                  <c:v>8477564.9100000001</c:v>
                </c:pt>
                <c:pt idx="20">
                  <c:v>8478424.9100000001</c:v>
                </c:pt>
                <c:pt idx="21">
                  <c:v>8478424.9100000001</c:v>
                </c:pt>
                <c:pt idx="22">
                  <c:v>8478625.4100000001</c:v>
                </c:pt>
                <c:pt idx="23">
                  <c:v>8478625.4100000001</c:v>
                </c:pt>
                <c:pt idx="24">
                  <c:v>8483014.4100000001</c:v>
                </c:pt>
                <c:pt idx="25">
                  <c:v>8483014.4100000001</c:v>
                </c:pt>
                <c:pt idx="26">
                  <c:v>8483014.4100000001</c:v>
                </c:pt>
                <c:pt idx="27">
                  <c:v>8483014.4100000001</c:v>
                </c:pt>
                <c:pt idx="28">
                  <c:v>8483014.4100000001</c:v>
                </c:pt>
                <c:pt idx="29">
                  <c:v>8483535.4100000001</c:v>
                </c:pt>
                <c:pt idx="30">
                  <c:v>8483535.4100000001</c:v>
                </c:pt>
                <c:pt idx="31">
                  <c:v>8483535.4100000001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Flame!$I$9:$I$45</c:f>
              <c:numCache>
                <c:formatCode>#,##0</c:formatCode>
                <c:ptCount val="32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  <c:pt idx="11">
                  <c:v>5598317.29</c:v>
                </c:pt>
                <c:pt idx="12">
                  <c:v>5870379.7999999998</c:v>
                </c:pt>
                <c:pt idx="13">
                  <c:v>6161835.8300000001</c:v>
                </c:pt>
                <c:pt idx="14">
                  <c:v>6379277.3399999999</c:v>
                </c:pt>
                <c:pt idx="15">
                  <c:v>6440659.8499999996</c:v>
                </c:pt>
                <c:pt idx="16">
                  <c:v>6472887.3499999996</c:v>
                </c:pt>
                <c:pt idx="17">
                  <c:v>6474112.8499999996</c:v>
                </c:pt>
                <c:pt idx="18">
                  <c:v>6474112.8499999996</c:v>
                </c:pt>
                <c:pt idx="19">
                  <c:v>6474112.8499999996</c:v>
                </c:pt>
                <c:pt idx="20">
                  <c:v>6482345.3399999999</c:v>
                </c:pt>
                <c:pt idx="21">
                  <c:v>6482345.3399999999</c:v>
                </c:pt>
                <c:pt idx="22">
                  <c:v>6482345.3399999999</c:v>
                </c:pt>
                <c:pt idx="23">
                  <c:v>6482345.3399999999</c:v>
                </c:pt>
                <c:pt idx="24">
                  <c:v>6482345.3399999999</c:v>
                </c:pt>
                <c:pt idx="25">
                  <c:v>6482345.3399999999</c:v>
                </c:pt>
                <c:pt idx="26">
                  <c:v>6482345.3399999999</c:v>
                </c:pt>
                <c:pt idx="27">
                  <c:v>6482345.3399999999</c:v>
                </c:pt>
                <c:pt idx="28">
                  <c:v>6482345.3399999999</c:v>
                </c:pt>
                <c:pt idx="29">
                  <c:v>6482345.3399999999</c:v>
                </c:pt>
                <c:pt idx="30">
                  <c:v>6482345.3399999999</c:v>
                </c:pt>
                <c:pt idx="31">
                  <c:v>6482345.3399999999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layout>
        <c:manualLayout>
          <c:xMode val="edge"/>
          <c:yMode val="edge"/>
          <c:x val="0.13364419951957043"/>
          <c:y val="1.41442715700141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Flame!$G$60:$G$96</c:f>
              <c:numCache>
                <c:formatCode>#,##0</c:formatCode>
                <c:ptCount val="32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>
                  <c:v>2165828.52</c:v>
                </c:pt>
                <c:pt idx="5">
                  <c:v>2665833.02</c:v>
                </c:pt>
                <c:pt idx="6">
                  <c:v>3722220.12</c:v>
                </c:pt>
                <c:pt idx="7">
                  <c:v>4405635.6400000006</c:v>
                </c:pt>
                <c:pt idx="8">
                  <c:v>5019269.1500000004</c:v>
                </c:pt>
                <c:pt idx="9">
                  <c:v>5116590.16</c:v>
                </c:pt>
                <c:pt idx="10">
                  <c:v>5181649.68</c:v>
                </c:pt>
                <c:pt idx="11">
                  <c:v>5263691.68</c:v>
                </c:pt>
                <c:pt idx="12">
                  <c:v>5286749.68</c:v>
                </c:pt>
                <c:pt idx="13">
                  <c:v>5301616.68</c:v>
                </c:pt>
                <c:pt idx="14">
                  <c:v>5301616.68</c:v>
                </c:pt>
                <c:pt idx="15">
                  <c:v>5303836.68</c:v>
                </c:pt>
                <c:pt idx="16">
                  <c:v>5315029.68</c:v>
                </c:pt>
                <c:pt idx="17">
                  <c:v>5321358.68</c:v>
                </c:pt>
                <c:pt idx="18">
                  <c:v>5329468.68</c:v>
                </c:pt>
                <c:pt idx="19">
                  <c:v>5341724.18</c:v>
                </c:pt>
                <c:pt idx="20">
                  <c:v>5342584.18</c:v>
                </c:pt>
                <c:pt idx="21">
                  <c:v>5342584.18</c:v>
                </c:pt>
                <c:pt idx="22">
                  <c:v>5342784.68</c:v>
                </c:pt>
                <c:pt idx="23">
                  <c:v>5342784.68</c:v>
                </c:pt>
                <c:pt idx="24">
                  <c:v>5340394.68</c:v>
                </c:pt>
                <c:pt idx="25">
                  <c:v>5340394.68</c:v>
                </c:pt>
                <c:pt idx="26">
                  <c:v>5340394.68</c:v>
                </c:pt>
                <c:pt idx="27">
                  <c:v>5340394.68</c:v>
                </c:pt>
                <c:pt idx="28">
                  <c:v>5340394.68</c:v>
                </c:pt>
                <c:pt idx="29">
                  <c:v>5340915.68</c:v>
                </c:pt>
                <c:pt idx="30">
                  <c:v>5340915.68</c:v>
                </c:pt>
                <c:pt idx="31">
                  <c:v>5340915.68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Flame!$I$60:$I$96</c:f>
              <c:numCache>
                <c:formatCode>#,##0</c:formatCode>
                <c:ptCount val="32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>
                  <c:v>1668881.77</c:v>
                </c:pt>
                <c:pt idx="5">
                  <c:v>2286506.52</c:v>
                </c:pt>
                <c:pt idx="6">
                  <c:v>3046002.02</c:v>
                </c:pt>
                <c:pt idx="7">
                  <c:v>3708187.77</c:v>
                </c:pt>
                <c:pt idx="8">
                  <c:v>4027895.25</c:v>
                </c:pt>
                <c:pt idx="9">
                  <c:v>4364032.75</c:v>
                </c:pt>
                <c:pt idx="10">
                  <c:v>4534718.75</c:v>
                </c:pt>
                <c:pt idx="11">
                  <c:v>4630472.25</c:v>
                </c:pt>
                <c:pt idx="12">
                  <c:v>4877089.25</c:v>
                </c:pt>
                <c:pt idx="13">
                  <c:v>4986330.75</c:v>
                </c:pt>
                <c:pt idx="14">
                  <c:v>5134378.75</c:v>
                </c:pt>
                <c:pt idx="15">
                  <c:v>5182906.75</c:v>
                </c:pt>
                <c:pt idx="16">
                  <c:v>5189368.25</c:v>
                </c:pt>
                <c:pt idx="17">
                  <c:v>5189685.75</c:v>
                </c:pt>
                <c:pt idx="18">
                  <c:v>5189685.75</c:v>
                </c:pt>
                <c:pt idx="19">
                  <c:v>5189685.75</c:v>
                </c:pt>
                <c:pt idx="20">
                  <c:v>5197918.24</c:v>
                </c:pt>
                <c:pt idx="21">
                  <c:v>5197918.24</c:v>
                </c:pt>
                <c:pt idx="22">
                  <c:v>5197918.24</c:v>
                </c:pt>
                <c:pt idx="23">
                  <c:v>5197918.24</c:v>
                </c:pt>
                <c:pt idx="24">
                  <c:v>5197918.24</c:v>
                </c:pt>
                <c:pt idx="25">
                  <c:v>5197918.24</c:v>
                </c:pt>
                <c:pt idx="26">
                  <c:v>5197918.24</c:v>
                </c:pt>
                <c:pt idx="27">
                  <c:v>5197918.24</c:v>
                </c:pt>
                <c:pt idx="28">
                  <c:v>5197918.24</c:v>
                </c:pt>
                <c:pt idx="29">
                  <c:v>5197918.24</c:v>
                </c:pt>
                <c:pt idx="30">
                  <c:v>5197918.24</c:v>
                </c:pt>
                <c:pt idx="31">
                  <c:v>5197918.24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412575757575757"/>
          <c:y val="8.2531150793650782E-2"/>
          <c:w val="0.85823535353535352"/>
          <c:h val="0.73540277777777774"/>
        </c:manualLayout>
      </c:layout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Flame!$G$111:$G$147</c:f>
              <c:numCache>
                <c:formatCode>#,##0</c:formatCode>
                <c:ptCount val="32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  <c:pt idx="11">
                  <c:v>1810763.32</c:v>
                </c:pt>
                <c:pt idx="12">
                  <c:v>2119733.39</c:v>
                </c:pt>
                <c:pt idx="13">
                  <c:v>2275921.4700000002</c:v>
                </c:pt>
                <c:pt idx="14">
                  <c:v>2352178.4900000002</c:v>
                </c:pt>
                <c:pt idx="15">
                  <c:v>2371471.4900000002</c:v>
                </c:pt>
                <c:pt idx="16">
                  <c:v>2371471.4900000002</c:v>
                </c:pt>
                <c:pt idx="17">
                  <c:v>2372442.9900000002</c:v>
                </c:pt>
                <c:pt idx="18">
                  <c:v>2429035.4900000002</c:v>
                </c:pt>
                <c:pt idx="19">
                  <c:v>2429035.4900000002</c:v>
                </c:pt>
                <c:pt idx="20">
                  <c:v>2429035.4900000002</c:v>
                </c:pt>
                <c:pt idx="21">
                  <c:v>2429035.4900000002</c:v>
                </c:pt>
                <c:pt idx="22">
                  <c:v>2429035.4900000002</c:v>
                </c:pt>
                <c:pt idx="23">
                  <c:v>2429035.4900000002</c:v>
                </c:pt>
                <c:pt idx="24">
                  <c:v>2435814.4900000002</c:v>
                </c:pt>
                <c:pt idx="25">
                  <c:v>2435814.4900000002</c:v>
                </c:pt>
                <c:pt idx="26">
                  <c:v>2435814.4900000002</c:v>
                </c:pt>
                <c:pt idx="27">
                  <c:v>2435814.4900000002</c:v>
                </c:pt>
                <c:pt idx="28">
                  <c:v>2435814.4900000002</c:v>
                </c:pt>
                <c:pt idx="29">
                  <c:v>2435814.4900000002</c:v>
                </c:pt>
                <c:pt idx="30">
                  <c:v>2435814.4900000002</c:v>
                </c:pt>
                <c:pt idx="31">
                  <c:v>2435814.4900000002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Flame!$I$111:$I$147</c:f>
              <c:numCache>
                <c:formatCode>#,##0</c:formatCode>
                <c:ptCount val="32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  <c:pt idx="11">
                  <c:v>736220.92</c:v>
                </c:pt>
                <c:pt idx="12">
                  <c:v>761666.43</c:v>
                </c:pt>
                <c:pt idx="13">
                  <c:v>943880.96</c:v>
                </c:pt>
                <c:pt idx="14">
                  <c:v>1013274.47</c:v>
                </c:pt>
                <c:pt idx="15">
                  <c:v>1026128.98</c:v>
                </c:pt>
                <c:pt idx="16">
                  <c:v>1036078.98</c:v>
                </c:pt>
                <c:pt idx="17">
                  <c:v>1036986.98</c:v>
                </c:pt>
                <c:pt idx="18">
                  <c:v>1036986.98</c:v>
                </c:pt>
                <c:pt idx="19">
                  <c:v>1036986.98</c:v>
                </c:pt>
                <c:pt idx="20">
                  <c:v>1036986.98</c:v>
                </c:pt>
                <c:pt idx="21">
                  <c:v>1036986.98</c:v>
                </c:pt>
                <c:pt idx="22">
                  <c:v>1036986.98</c:v>
                </c:pt>
                <c:pt idx="23">
                  <c:v>1036986.98</c:v>
                </c:pt>
                <c:pt idx="24">
                  <c:v>1036986.98</c:v>
                </c:pt>
                <c:pt idx="25">
                  <c:v>1036986.98</c:v>
                </c:pt>
                <c:pt idx="26">
                  <c:v>1036986.98</c:v>
                </c:pt>
                <c:pt idx="27">
                  <c:v>1036986.98</c:v>
                </c:pt>
                <c:pt idx="28">
                  <c:v>1036986.98</c:v>
                </c:pt>
                <c:pt idx="29">
                  <c:v>1036986.98</c:v>
                </c:pt>
                <c:pt idx="30">
                  <c:v>1036986.98</c:v>
                </c:pt>
                <c:pt idx="31">
                  <c:v>1036986.98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Flame!$G$162:$G$198</c:f>
              <c:numCache>
                <c:formatCode>#,##0</c:formatCode>
                <c:ptCount val="32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  <c:pt idx="11">
                  <c:v>690526.34000000008</c:v>
                </c:pt>
                <c:pt idx="12">
                  <c:v>706805.34000000008</c:v>
                </c:pt>
                <c:pt idx="13">
                  <c:v>706805.34000000008</c:v>
                </c:pt>
                <c:pt idx="14">
                  <c:v>706805.34000000008</c:v>
                </c:pt>
                <c:pt idx="15">
                  <c:v>706805.34000000008</c:v>
                </c:pt>
                <c:pt idx="16">
                  <c:v>706805.34000000008</c:v>
                </c:pt>
                <c:pt idx="17">
                  <c:v>706805.34000000008</c:v>
                </c:pt>
                <c:pt idx="18">
                  <c:v>706805.34000000008</c:v>
                </c:pt>
                <c:pt idx="19">
                  <c:v>706805.34000000008</c:v>
                </c:pt>
                <c:pt idx="20">
                  <c:v>706805.34000000008</c:v>
                </c:pt>
                <c:pt idx="21">
                  <c:v>706805.34000000008</c:v>
                </c:pt>
                <c:pt idx="22">
                  <c:v>706805.34000000008</c:v>
                </c:pt>
                <c:pt idx="23">
                  <c:v>706805.34000000008</c:v>
                </c:pt>
                <c:pt idx="24">
                  <c:v>706805.34000000008</c:v>
                </c:pt>
                <c:pt idx="25">
                  <c:v>706805.34000000008</c:v>
                </c:pt>
                <c:pt idx="26">
                  <c:v>706805.34000000008</c:v>
                </c:pt>
                <c:pt idx="27">
                  <c:v>706805.34000000008</c:v>
                </c:pt>
                <c:pt idx="28">
                  <c:v>706805.34000000008</c:v>
                </c:pt>
                <c:pt idx="29">
                  <c:v>706805.34000000008</c:v>
                </c:pt>
                <c:pt idx="30">
                  <c:v>706805.34000000008</c:v>
                </c:pt>
                <c:pt idx="31">
                  <c:v>706805.34000000008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Flame!$I$162:$I$198</c:f>
              <c:numCache>
                <c:formatCode>#,##0</c:formatCode>
                <c:ptCount val="32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  <c:pt idx="11">
                  <c:v>231624.12</c:v>
                </c:pt>
                <c:pt idx="12">
                  <c:v>231624.12</c:v>
                </c:pt>
                <c:pt idx="13">
                  <c:v>231624.12</c:v>
                </c:pt>
                <c:pt idx="14">
                  <c:v>231624.12</c:v>
                </c:pt>
                <c:pt idx="15">
                  <c:v>231624.12</c:v>
                </c:pt>
                <c:pt idx="16">
                  <c:v>247440.12</c:v>
                </c:pt>
                <c:pt idx="17">
                  <c:v>247440.12</c:v>
                </c:pt>
                <c:pt idx="18">
                  <c:v>247440.12</c:v>
                </c:pt>
                <c:pt idx="19">
                  <c:v>247440.12</c:v>
                </c:pt>
                <c:pt idx="20">
                  <c:v>247440.12</c:v>
                </c:pt>
                <c:pt idx="21">
                  <c:v>247440.12</c:v>
                </c:pt>
                <c:pt idx="22">
                  <c:v>247440.12</c:v>
                </c:pt>
                <c:pt idx="23">
                  <c:v>247440.12</c:v>
                </c:pt>
                <c:pt idx="24">
                  <c:v>247440.12</c:v>
                </c:pt>
                <c:pt idx="25">
                  <c:v>247440.12</c:v>
                </c:pt>
                <c:pt idx="26">
                  <c:v>247440.12</c:v>
                </c:pt>
                <c:pt idx="27">
                  <c:v>247440.12</c:v>
                </c:pt>
                <c:pt idx="28">
                  <c:v>247440.12</c:v>
                </c:pt>
                <c:pt idx="29">
                  <c:v>247440.12</c:v>
                </c:pt>
                <c:pt idx="30">
                  <c:v>247440.12</c:v>
                </c:pt>
                <c:pt idx="31">
                  <c:v>247440.12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469496072695164"/>
          <c:y val="0.89193392609631661"/>
          <c:w val="0.33212554761523572"/>
          <c:h val="8.46578342033088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Sultana'!$G$9:$G$45</c:f>
              <c:numCache>
                <c:formatCode>#,##0</c:formatCode>
                <c:ptCount val="32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3937291.86</c:v>
                </c:pt>
                <c:pt idx="11">
                  <c:v>3948098.86</c:v>
                </c:pt>
                <c:pt idx="12">
                  <c:v>4102812.86</c:v>
                </c:pt>
                <c:pt idx="13">
                  <c:v>4127753.36</c:v>
                </c:pt>
                <c:pt idx="14">
                  <c:v>4149169.86</c:v>
                </c:pt>
                <c:pt idx="15">
                  <c:v>4151755.86</c:v>
                </c:pt>
                <c:pt idx="16">
                  <c:v>4167743.86</c:v>
                </c:pt>
                <c:pt idx="17">
                  <c:v>4167743.86</c:v>
                </c:pt>
                <c:pt idx="18">
                  <c:v>4183062.86</c:v>
                </c:pt>
                <c:pt idx="19">
                  <c:v>4190145.86</c:v>
                </c:pt>
                <c:pt idx="20">
                  <c:v>4190145.86</c:v>
                </c:pt>
                <c:pt idx="21">
                  <c:v>4194294.86</c:v>
                </c:pt>
                <c:pt idx="22">
                  <c:v>4209602.8599999994</c:v>
                </c:pt>
                <c:pt idx="23">
                  <c:v>4209602.8599999994</c:v>
                </c:pt>
                <c:pt idx="24">
                  <c:v>4056127.3599999994</c:v>
                </c:pt>
                <c:pt idx="25">
                  <c:v>4056127.3599999994</c:v>
                </c:pt>
                <c:pt idx="26">
                  <c:v>4056127.3599999994</c:v>
                </c:pt>
                <c:pt idx="27">
                  <c:v>4085985.8599999994</c:v>
                </c:pt>
                <c:pt idx="28">
                  <c:v>4085985.8599999994</c:v>
                </c:pt>
                <c:pt idx="29">
                  <c:v>4086401.3599999994</c:v>
                </c:pt>
                <c:pt idx="30">
                  <c:v>4086401.3599999994</c:v>
                </c:pt>
                <c:pt idx="31">
                  <c:v>4097381.3599999994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Sultana'!$I$9:$I$45</c:f>
              <c:numCache>
                <c:formatCode>#,##0</c:formatCode>
                <c:ptCount val="32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  <c:pt idx="11">
                  <c:v>9358579.5700000003</c:v>
                </c:pt>
                <c:pt idx="12">
                  <c:v>9696524.0700000003</c:v>
                </c:pt>
                <c:pt idx="13">
                  <c:v>9839810.0700000003</c:v>
                </c:pt>
                <c:pt idx="14">
                  <c:v>10038816.57</c:v>
                </c:pt>
                <c:pt idx="15">
                  <c:v>10125563.32</c:v>
                </c:pt>
                <c:pt idx="16">
                  <c:v>10167208.32</c:v>
                </c:pt>
                <c:pt idx="17">
                  <c:v>10172409.82</c:v>
                </c:pt>
                <c:pt idx="18">
                  <c:v>10172737.630000001</c:v>
                </c:pt>
                <c:pt idx="19">
                  <c:v>10174325.630000001</c:v>
                </c:pt>
                <c:pt idx="20">
                  <c:v>10177087.560000001</c:v>
                </c:pt>
                <c:pt idx="21">
                  <c:v>10177087.560000001</c:v>
                </c:pt>
                <c:pt idx="22">
                  <c:v>10177087.560000001</c:v>
                </c:pt>
                <c:pt idx="23">
                  <c:v>10177087.560000001</c:v>
                </c:pt>
                <c:pt idx="24">
                  <c:v>10177087.560000001</c:v>
                </c:pt>
                <c:pt idx="25">
                  <c:v>10177087.560000001</c:v>
                </c:pt>
                <c:pt idx="26">
                  <c:v>10177087.560000001</c:v>
                </c:pt>
                <c:pt idx="27">
                  <c:v>10177087.560000001</c:v>
                </c:pt>
                <c:pt idx="28">
                  <c:v>10177087.560000001</c:v>
                </c:pt>
                <c:pt idx="29">
                  <c:v>10177087.560000001</c:v>
                </c:pt>
                <c:pt idx="30">
                  <c:v>10177087.560000001</c:v>
                </c:pt>
                <c:pt idx="31">
                  <c:v>10177087.560000001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Sultana'!$G$111:$G$147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  <c:pt idx="11">
                  <c:v>165438</c:v>
                </c:pt>
                <c:pt idx="12">
                  <c:v>165438</c:v>
                </c:pt>
                <c:pt idx="13">
                  <c:v>165438</c:v>
                </c:pt>
                <c:pt idx="14">
                  <c:v>165438</c:v>
                </c:pt>
                <c:pt idx="15">
                  <c:v>165566</c:v>
                </c:pt>
                <c:pt idx="16">
                  <c:v>165566</c:v>
                </c:pt>
                <c:pt idx="17">
                  <c:v>165566</c:v>
                </c:pt>
                <c:pt idx="18">
                  <c:v>165566</c:v>
                </c:pt>
                <c:pt idx="19">
                  <c:v>165566</c:v>
                </c:pt>
                <c:pt idx="20">
                  <c:v>165566</c:v>
                </c:pt>
                <c:pt idx="21">
                  <c:v>165566</c:v>
                </c:pt>
                <c:pt idx="22">
                  <c:v>165566</c:v>
                </c:pt>
                <c:pt idx="23">
                  <c:v>165566</c:v>
                </c:pt>
                <c:pt idx="24">
                  <c:v>20671</c:v>
                </c:pt>
                <c:pt idx="25">
                  <c:v>20671</c:v>
                </c:pt>
                <c:pt idx="26">
                  <c:v>20671</c:v>
                </c:pt>
                <c:pt idx="27">
                  <c:v>20671</c:v>
                </c:pt>
                <c:pt idx="28">
                  <c:v>20671</c:v>
                </c:pt>
                <c:pt idx="29">
                  <c:v>20671</c:v>
                </c:pt>
                <c:pt idx="30">
                  <c:v>20671</c:v>
                </c:pt>
                <c:pt idx="31">
                  <c:v>20671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Sultana'!$I$111:$I$147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Sultana'!$G$60:$G$96</c:f>
              <c:numCache>
                <c:formatCode>#,##0</c:formatCode>
                <c:ptCount val="32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3767851.36</c:v>
                </c:pt>
                <c:pt idx="11">
                  <c:v>3778658.36</c:v>
                </c:pt>
                <c:pt idx="12">
                  <c:v>3933372.36</c:v>
                </c:pt>
                <c:pt idx="13">
                  <c:v>3958312.86</c:v>
                </c:pt>
                <c:pt idx="14">
                  <c:v>3979729.36</c:v>
                </c:pt>
                <c:pt idx="15">
                  <c:v>3982187.36</c:v>
                </c:pt>
                <c:pt idx="16">
                  <c:v>3998175.36</c:v>
                </c:pt>
                <c:pt idx="17">
                  <c:v>3998175.36</c:v>
                </c:pt>
                <c:pt idx="18">
                  <c:v>4013494.36</c:v>
                </c:pt>
                <c:pt idx="19">
                  <c:v>4020577.86</c:v>
                </c:pt>
                <c:pt idx="20">
                  <c:v>4020577.86</c:v>
                </c:pt>
                <c:pt idx="21">
                  <c:v>4024726.86</c:v>
                </c:pt>
                <c:pt idx="22">
                  <c:v>4040034.86</c:v>
                </c:pt>
                <c:pt idx="23">
                  <c:v>4040034.86</c:v>
                </c:pt>
                <c:pt idx="24">
                  <c:v>4031454.36</c:v>
                </c:pt>
                <c:pt idx="25">
                  <c:v>4031454.36</c:v>
                </c:pt>
                <c:pt idx="26">
                  <c:v>4031454.36</c:v>
                </c:pt>
                <c:pt idx="27">
                  <c:v>4061312.86</c:v>
                </c:pt>
                <c:pt idx="28">
                  <c:v>4061312.86</c:v>
                </c:pt>
                <c:pt idx="29">
                  <c:v>4061728.36</c:v>
                </c:pt>
                <c:pt idx="30">
                  <c:v>4061728.36</c:v>
                </c:pt>
                <c:pt idx="31">
                  <c:v>4072708.36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Sultana'!$I$60:$I$96</c:f>
              <c:numCache>
                <c:formatCode>#,##0</c:formatCode>
                <c:ptCount val="32"/>
                <c:pt idx="0">
                  <c:v>161927</c:v>
                </c:pt>
                <c:pt idx="1">
                  <c:v>1249151.6499999999</c:v>
                </c:pt>
                <c:pt idx="2">
                  <c:v>2219368.67</c:v>
                </c:pt>
                <c:pt idx="3">
                  <c:v>3118019.44</c:v>
                </c:pt>
                <c:pt idx="4">
                  <c:v>4138561.32</c:v>
                </c:pt>
                <c:pt idx="5">
                  <c:v>4784203.5599999996</c:v>
                </c:pt>
                <c:pt idx="6">
                  <c:v>6502006.0699999994</c:v>
                </c:pt>
                <c:pt idx="7">
                  <c:v>7150150.3199999994</c:v>
                </c:pt>
                <c:pt idx="8">
                  <c:v>7863906.5699999994</c:v>
                </c:pt>
                <c:pt idx="9">
                  <c:v>8505162.5700000003</c:v>
                </c:pt>
                <c:pt idx="10">
                  <c:v>9141581.3200000003</c:v>
                </c:pt>
                <c:pt idx="11">
                  <c:v>9354470.5700000003</c:v>
                </c:pt>
                <c:pt idx="12">
                  <c:v>9692415.0700000003</c:v>
                </c:pt>
                <c:pt idx="13">
                  <c:v>9835701.0700000003</c:v>
                </c:pt>
                <c:pt idx="14">
                  <c:v>10034707.57</c:v>
                </c:pt>
                <c:pt idx="15">
                  <c:v>10121454.32</c:v>
                </c:pt>
                <c:pt idx="16">
                  <c:v>10163099.32</c:v>
                </c:pt>
                <c:pt idx="17">
                  <c:v>10168300.82</c:v>
                </c:pt>
                <c:pt idx="18">
                  <c:v>10168628.630000001</c:v>
                </c:pt>
                <c:pt idx="19">
                  <c:v>10170216.630000001</c:v>
                </c:pt>
                <c:pt idx="20">
                  <c:v>10172978.560000001</c:v>
                </c:pt>
                <c:pt idx="21">
                  <c:v>10172978.560000001</c:v>
                </c:pt>
                <c:pt idx="22">
                  <c:v>10172978.560000001</c:v>
                </c:pt>
                <c:pt idx="23">
                  <c:v>10172978.560000001</c:v>
                </c:pt>
                <c:pt idx="24">
                  <c:v>10172978.560000001</c:v>
                </c:pt>
                <c:pt idx="25">
                  <c:v>10172978.560000001</c:v>
                </c:pt>
                <c:pt idx="26">
                  <c:v>10172978.560000001</c:v>
                </c:pt>
                <c:pt idx="27">
                  <c:v>10172978.560000001</c:v>
                </c:pt>
                <c:pt idx="28">
                  <c:v>10172978.560000001</c:v>
                </c:pt>
                <c:pt idx="29">
                  <c:v>10172978.560000001</c:v>
                </c:pt>
                <c:pt idx="30">
                  <c:v>10172978.560000001</c:v>
                </c:pt>
                <c:pt idx="31">
                  <c:v>10172978.560000001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Sultana'!$G$162:$G$198</c:f>
              <c:numCache>
                <c:formatCode>#,##0</c:formatCode>
                <c:ptCount val="32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  <c:pt idx="11">
                  <c:v>4002.5</c:v>
                </c:pt>
                <c:pt idx="12">
                  <c:v>4002.5</c:v>
                </c:pt>
                <c:pt idx="13">
                  <c:v>4002.5</c:v>
                </c:pt>
                <c:pt idx="14">
                  <c:v>4002.5</c:v>
                </c:pt>
                <c:pt idx="15">
                  <c:v>4002.5</c:v>
                </c:pt>
                <c:pt idx="16">
                  <c:v>4002.5</c:v>
                </c:pt>
                <c:pt idx="17">
                  <c:v>4002.5</c:v>
                </c:pt>
                <c:pt idx="18">
                  <c:v>4002.5</c:v>
                </c:pt>
                <c:pt idx="19">
                  <c:v>4002.5</c:v>
                </c:pt>
                <c:pt idx="20">
                  <c:v>4002.5</c:v>
                </c:pt>
                <c:pt idx="21">
                  <c:v>4002.5</c:v>
                </c:pt>
                <c:pt idx="22">
                  <c:v>4002.5</c:v>
                </c:pt>
                <c:pt idx="23">
                  <c:v>4002.5</c:v>
                </c:pt>
                <c:pt idx="24">
                  <c:v>4002.5</c:v>
                </c:pt>
                <c:pt idx="25">
                  <c:v>4002.5</c:v>
                </c:pt>
                <c:pt idx="26">
                  <c:v>4002.5</c:v>
                </c:pt>
                <c:pt idx="27">
                  <c:v>4002.5</c:v>
                </c:pt>
                <c:pt idx="28">
                  <c:v>4002.5</c:v>
                </c:pt>
                <c:pt idx="29">
                  <c:v>4002.5</c:v>
                </c:pt>
                <c:pt idx="30">
                  <c:v>4002.5</c:v>
                </c:pt>
                <c:pt idx="31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'SA Sultana'!$I$162:$I$198</c:f>
              <c:numCache>
                <c:formatCode>#,##0</c:formatCode>
                <c:ptCount val="32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  <c:pt idx="11">
                  <c:v>4109</c:v>
                </c:pt>
                <c:pt idx="12">
                  <c:v>4109</c:v>
                </c:pt>
                <c:pt idx="13">
                  <c:v>4109</c:v>
                </c:pt>
                <c:pt idx="14">
                  <c:v>4109</c:v>
                </c:pt>
                <c:pt idx="15">
                  <c:v>4109</c:v>
                </c:pt>
                <c:pt idx="16">
                  <c:v>4109</c:v>
                </c:pt>
                <c:pt idx="17">
                  <c:v>4109</c:v>
                </c:pt>
                <c:pt idx="18">
                  <c:v>4109</c:v>
                </c:pt>
                <c:pt idx="19">
                  <c:v>4109</c:v>
                </c:pt>
                <c:pt idx="20">
                  <c:v>4109</c:v>
                </c:pt>
                <c:pt idx="21">
                  <c:v>4109</c:v>
                </c:pt>
                <c:pt idx="22">
                  <c:v>4109</c:v>
                </c:pt>
                <c:pt idx="23">
                  <c:v>4109</c:v>
                </c:pt>
                <c:pt idx="24">
                  <c:v>4109</c:v>
                </c:pt>
                <c:pt idx="25">
                  <c:v>4109</c:v>
                </c:pt>
                <c:pt idx="26">
                  <c:v>4109</c:v>
                </c:pt>
                <c:pt idx="27">
                  <c:v>4109</c:v>
                </c:pt>
                <c:pt idx="28">
                  <c:v>4109</c:v>
                </c:pt>
                <c:pt idx="29">
                  <c:v>4109</c:v>
                </c:pt>
                <c:pt idx="30">
                  <c:v>4109</c:v>
                </c:pt>
                <c:pt idx="31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Sultana'!$G$9:$G$45</c:f>
              <c:numCache>
                <c:formatCode>#,##0</c:formatCode>
                <c:ptCount val="32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  <c:pt idx="11">
                  <c:v>3565556.5300000003</c:v>
                </c:pt>
                <c:pt idx="12">
                  <c:v>3600324.5300000003</c:v>
                </c:pt>
                <c:pt idx="13">
                  <c:v>3601203.5300000003</c:v>
                </c:pt>
                <c:pt idx="14">
                  <c:v>3601431.5300000003</c:v>
                </c:pt>
                <c:pt idx="15">
                  <c:v>3611468.0300000003</c:v>
                </c:pt>
                <c:pt idx="16">
                  <c:v>3611468.0300000003</c:v>
                </c:pt>
                <c:pt idx="17">
                  <c:v>3611468.0300000003</c:v>
                </c:pt>
                <c:pt idx="18">
                  <c:v>3611468.0300000003</c:v>
                </c:pt>
                <c:pt idx="19">
                  <c:v>3620339.5300000003</c:v>
                </c:pt>
                <c:pt idx="20">
                  <c:v>3620339.5300000003</c:v>
                </c:pt>
                <c:pt idx="21">
                  <c:v>3620339.5300000003</c:v>
                </c:pt>
                <c:pt idx="22">
                  <c:v>3620339.5300000003</c:v>
                </c:pt>
                <c:pt idx="23">
                  <c:v>3620339.5300000003</c:v>
                </c:pt>
                <c:pt idx="24">
                  <c:v>3598550.5300000003</c:v>
                </c:pt>
                <c:pt idx="25">
                  <c:v>3598550.5300000003</c:v>
                </c:pt>
                <c:pt idx="26">
                  <c:v>3598550.5300000003</c:v>
                </c:pt>
                <c:pt idx="27">
                  <c:v>3598550.5300000003</c:v>
                </c:pt>
                <c:pt idx="28">
                  <c:v>3598550.5300000003</c:v>
                </c:pt>
                <c:pt idx="29">
                  <c:v>3598550.5300000003</c:v>
                </c:pt>
                <c:pt idx="30">
                  <c:v>3598550.5300000003</c:v>
                </c:pt>
                <c:pt idx="31">
                  <c:v>3598550.5300000003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Sultana'!$I$9:$I$45</c:f>
              <c:numCache>
                <c:formatCode>#,##0</c:formatCode>
                <c:ptCount val="32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  <c:pt idx="11">
                  <c:v>3068125.37</c:v>
                </c:pt>
                <c:pt idx="12">
                  <c:v>3085675.87</c:v>
                </c:pt>
                <c:pt idx="13">
                  <c:v>3086210.37</c:v>
                </c:pt>
                <c:pt idx="14">
                  <c:v>3115190.37</c:v>
                </c:pt>
                <c:pt idx="15">
                  <c:v>3115190.37</c:v>
                </c:pt>
                <c:pt idx="16">
                  <c:v>3115190.37</c:v>
                </c:pt>
                <c:pt idx="17">
                  <c:v>3115190.37</c:v>
                </c:pt>
                <c:pt idx="18">
                  <c:v>3115190.37</c:v>
                </c:pt>
                <c:pt idx="19">
                  <c:v>3115190.37</c:v>
                </c:pt>
                <c:pt idx="20">
                  <c:v>3250840.38</c:v>
                </c:pt>
                <c:pt idx="21">
                  <c:v>3250840.38</c:v>
                </c:pt>
                <c:pt idx="22">
                  <c:v>3250840.38</c:v>
                </c:pt>
                <c:pt idx="23">
                  <c:v>3250840.38</c:v>
                </c:pt>
                <c:pt idx="24">
                  <c:v>3250840.38</c:v>
                </c:pt>
                <c:pt idx="25">
                  <c:v>3250840.38</c:v>
                </c:pt>
                <c:pt idx="26">
                  <c:v>3250840.38</c:v>
                </c:pt>
                <c:pt idx="27">
                  <c:v>3250840.38</c:v>
                </c:pt>
                <c:pt idx="28">
                  <c:v>3250840.38</c:v>
                </c:pt>
                <c:pt idx="29">
                  <c:v>3250840.38</c:v>
                </c:pt>
                <c:pt idx="30">
                  <c:v>3250840.38</c:v>
                </c:pt>
                <c:pt idx="31">
                  <c:v>3250840.38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Sultana'!$G$162:$G$198</c:f>
              <c:numCache>
                <c:formatCode>#,##0</c:formatCode>
                <c:ptCount val="32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  <c:pt idx="11">
                  <c:v>24735</c:v>
                </c:pt>
                <c:pt idx="12">
                  <c:v>24735</c:v>
                </c:pt>
                <c:pt idx="13">
                  <c:v>24735</c:v>
                </c:pt>
                <c:pt idx="14">
                  <c:v>24735</c:v>
                </c:pt>
                <c:pt idx="15">
                  <c:v>24735</c:v>
                </c:pt>
                <c:pt idx="16">
                  <c:v>24735</c:v>
                </c:pt>
                <c:pt idx="17">
                  <c:v>24735</c:v>
                </c:pt>
                <c:pt idx="18">
                  <c:v>24735</c:v>
                </c:pt>
                <c:pt idx="19">
                  <c:v>24735</c:v>
                </c:pt>
                <c:pt idx="20">
                  <c:v>24735</c:v>
                </c:pt>
                <c:pt idx="21">
                  <c:v>24735</c:v>
                </c:pt>
                <c:pt idx="22">
                  <c:v>24735</c:v>
                </c:pt>
                <c:pt idx="23">
                  <c:v>24735</c:v>
                </c:pt>
                <c:pt idx="24">
                  <c:v>24735</c:v>
                </c:pt>
                <c:pt idx="25">
                  <c:v>24735</c:v>
                </c:pt>
                <c:pt idx="26">
                  <c:v>24735</c:v>
                </c:pt>
                <c:pt idx="27">
                  <c:v>24735</c:v>
                </c:pt>
                <c:pt idx="28">
                  <c:v>24735</c:v>
                </c:pt>
                <c:pt idx="29">
                  <c:v>24735</c:v>
                </c:pt>
                <c:pt idx="30">
                  <c:v>24735</c:v>
                </c:pt>
                <c:pt idx="31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Sultana'!$I$162:$I$198</c:f>
              <c:numCache>
                <c:formatCode>#,##0</c:formatCode>
                <c:ptCount val="32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  <c:pt idx="11">
                  <c:v>5891</c:v>
                </c:pt>
                <c:pt idx="12">
                  <c:v>5891</c:v>
                </c:pt>
                <c:pt idx="13">
                  <c:v>5891</c:v>
                </c:pt>
                <c:pt idx="14">
                  <c:v>5891</c:v>
                </c:pt>
                <c:pt idx="15">
                  <c:v>5891</c:v>
                </c:pt>
                <c:pt idx="16">
                  <c:v>5891</c:v>
                </c:pt>
                <c:pt idx="17">
                  <c:v>5891</c:v>
                </c:pt>
                <c:pt idx="18">
                  <c:v>5891</c:v>
                </c:pt>
                <c:pt idx="19">
                  <c:v>5891</c:v>
                </c:pt>
                <c:pt idx="20">
                  <c:v>5891</c:v>
                </c:pt>
                <c:pt idx="21">
                  <c:v>5891</c:v>
                </c:pt>
                <c:pt idx="22">
                  <c:v>5891</c:v>
                </c:pt>
                <c:pt idx="23">
                  <c:v>5891</c:v>
                </c:pt>
                <c:pt idx="24">
                  <c:v>5891</c:v>
                </c:pt>
                <c:pt idx="25">
                  <c:v>5891</c:v>
                </c:pt>
                <c:pt idx="26">
                  <c:v>5891</c:v>
                </c:pt>
                <c:pt idx="27">
                  <c:v>5891</c:v>
                </c:pt>
                <c:pt idx="28">
                  <c:v>5891</c:v>
                </c:pt>
                <c:pt idx="29">
                  <c:v>5891</c:v>
                </c:pt>
                <c:pt idx="30">
                  <c:v>5891</c:v>
                </c:pt>
                <c:pt idx="31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Sultana'!$G$60:$G$96</c:f>
              <c:numCache>
                <c:formatCode>#,##0</c:formatCode>
                <c:ptCount val="32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  <c:pt idx="11">
                  <c:v>3537637.0300000003</c:v>
                </c:pt>
                <c:pt idx="12">
                  <c:v>3572405.0300000003</c:v>
                </c:pt>
                <c:pt idx="13">
                  <c:v>3573284.0300000003</c:v>
                </c:pt>
                <c:pt idx="14">
                  <c:v>3573512.0300000003</c:v>
                </c:pt>
                <c:pt idx="15">
                  <c:v>3583548.5300000003</c:v>
                </c:pt>
                <c:pt idx="16">
                  <c:v>3583548.5300000003</c:v>
                </c:pt>
                <c:pt idx="17">
                  <c:v>3583548.5300000003</c:v>
                </c:pt>
                <c:pt idx="18">
                  <c:v>3583548.5300000003</c:v>
                </c:pt>
                <c:pt idx="19">
                  <c:v>3592420.0300000003</c:v>
                </c:pt>
                <c:pt idx="20">
                  <c:v>3592420.0300000003</c:v>
                </c:pt>
                <c:pt idx="21">
                  <c:v>3592420.0300000003</c:v>
                </c:pt>
                <c:pt idx="22">
                  <c:v>3592420.0300000003</c:v>
                </c:pt>
                <c:pt idx="23">
                  <c:v>3592420.0300000003</c:v>
                </c:pt>
                <c:pt idx="24">
                  <c:v>3570631.0300000003</c:v>
                </c:pt>
                <c:pt idx="25">
                  <c:v>3570631.0300000003</c:v>
                </c:pt>
                <c:pt idx="26">
                  <c:v>3570631.0300000003</c:v>
                </c:pt>
                <c:pt idx="27">
                  <c:v>3570631.0300000003</c:v>
                </c:pt>
                <c:pt idx="28">
                  <c:v>3570631.0300000003</c:v>
                </c:pt>
                <c:pt idx="29">
                  <c:v>3570631.0300000003</c:v>
                </c:pt>
                <c:pt idx="30">
                  <c:v>3570631.0300000003</c:v>
                </c:pt>
                <c:pt idx="31">
                  <c:v>3570631.0300000003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Sultana'!$I$60:$I$96</c:f>
              <c:numCache>
                <c:formatCode>#,##0</c:formatCode>
                <c:ptCount val="32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  <c:pt idx="11">
                  <c:v>3062234.37</c:v>
                </c:pt>
                <c:pt idx="12">
                  <c:v>3079784.87</c:v>
                </c:pt>
                <c:pt idx="13">
                  <c:v>3080319.37</c:v>
                </c:pt>
                <c:pt idx="14">
                  <c:v>3109299.37</c:v>
                </c:pt>
                <c:pt idx="15">
                  <c:v>3109299.37</c:v>
                </c:pt>
                <c:pt idx="16">
                  <c:v>3109299.37</c:v>
                </c:pt>
                <c:pt idx="17">
                  <c:v>3109299.37</c:v>
                </c:pt>
                <c:pt idx="18">
                  <c:v>3109299.37</c:v>
                </c:pt>
                <c:pt idx="19">
                  <c:v>3109299.37</c:v>
                </c:pt>
                <c:pt idx="20">
                  <c:v>3244949.38</c:v>
                </c:pt>
                <c:pt idx="21">
                  <c:v>3244949.38</c:v>
                </c:pt>
                <c:pt idx="22">
                  <c:v>3244949.38</c:v>
                </c:pt>
                <c:pt idx="23">
                  <c:v>3244949.38</c:v>
                </c:pt>
                <c:pt idx="24">
                  <c:v>3244949.38</c:v>
                </c:pt>
                <c:pt idx="25">
                  <c:v>3244949.38</c:v>
                </c:pt>
                <c:pt idx="26">
                  <c:v>3244949.38</c:v>
                </c:pt>
                <c:pt idx="27">
                  <c:v>3244949.38</c:v>
                </c:pt>
                <c:pt idx="28">
                  <c:v>3244949.38</c:v>
                </c:pt>
                <c:pt idx="29">
                  <c:v>3244949.38</c:v>
                </c:pt>
                <c:pt idx="30">
                  <c:v>3244949.38</c:v>
                </c:pt>
                <c:pt idx="31">
                  <c:v>3244949.38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Sultana'!$G$111:$G$147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  <c:pt idx="11">
                  <c:v>3184.5</c:v>
                </c:pt>
                <c:pt idx="12">
                  <c:v>3184.5</c:v>
                </c:pt>
                <c:pt idx="13">
                  <c:v>3184.5</c:v>
                </c:pt>
                <c:pt idx="14">
                  <c:v>3184.5</c:v>
                </c:pt>
                <c:pt idx="15">
                  <c:v>3184.5</c:v>
                </c:pt>
                <c:pt idx="16">
                  <c:v>3184.5</c:v>
                </c:pt>
                <c:pt idx="17">
                  <c:v>3184.5</c:v>
                </c:pt>
                <c:pt idx="18">
                  <c:v>3184.5</c:v>
                </c:pt>
                <c:pt idx="19">
                  <c:v>3184.5</c:v>
                </c:pt>
                <c:pt idx="20">
                  <c:v>3184.5</c:v>
                </c:pt>
                <c:pt idx="21">
                  <c:v>3184.5</c:v>
                </c:pt>
                <c:pt idx="22">
                  <c:v>3184.5</c:v>
                </c:pt>
                <c:pt idx="23">
                  <c:v>3184.5</c:v>
                </c:pt>
                <c:pt idx="24">
                  <c:v>3184.5</c:v>
                </c:pt>
                <c:pt idx="25">
                  <c:v>3184.5</c:v>
                </c:pt>
                <c:pt idx="26">
                  <c:v>3184.5</c:v>
                </c:pt>
                <c:pt idx="27">
                  <c:v>3184.5</c:v>
                </c:pt>
                <c:pt idx="28">
                  <c:v>3184.5</c:v>
                </c:pt>
                <c:pt idx="29">
                  <c:v>3184.5</c:v>
                </c:pt>
                <c:pt idx="30">
                  <c:v>3184.5</c:v>
                </c:pt>
                <c:pt idx="31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'OR Sultana'!$I$111:$I$147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Goldens!$G$9:$G$45</c:f>
              <c:numCache>
                <c:formatCode>#,##0</c:formatCode>
                <c:ptCount val="32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12324252.5</c:v>
                </c:pt>
                <c:pt idx="11">
                  <c:v>12961189.5</c:v>
                </c:pt>
                <c:pt idx="12">
                  <c:v>13793906</c:v>
                </c:pt>
                <c:pt idx="13">
                  <c:v>14291543.5</c:v>
                </c:pt>
                <c:pt idx="14">
                  <c:v>14605801</c:v>
                </c:pt>
                <c:pt idx="15">
                  <c:v>14938891</c:v>
                </c:pt>
                <c:pt idx="16">
                  <c:v>15033808.5</c:v>
                </c:pt>
                <c:pt idx="17">
                  <c:v>15392438</c:v>
                </c:pt>
                <c:pt idx="18">
                  <c:v>15863152</c:v>
                </c:pt>
                <c:pt idx="19">
                  <c:v>16408496</c:v>
                </c:pt>
                <c:pt idx="20">
                  <c:v>16623248.300000001</c:v>
                </c:pt>
                <c:pt idx="21">
                  <c:v>16891991</c:v>
                </c:pt>
                <c:pt idx="22">
                  <c:v>16892119.5</c:v>
                </c:pt>
                <c:pt idx="23">
                  <c:v>16892119.5</c:v>
                </c:pt>
                <c:pt idx="24">
                  <c:v>16921847.5</c:v>
                </c:pt>
                <c:pt idx="25">
                  <c:v>16921847.5</c:v>
                </c:pt>
                <c:pt idx="26">
                  <c:v>17069285.5</c:v>
                </c:pt>
                <c:pt idx="27">
                  <c:v>17088478</c:v>
                </c:pt>
                <c:pt idx="28">
                  <c:v>17092798</c:v>
                </c:pt>
                <c:pt idx="29">
                  <c:v>17147589</c:v>
                </c:pt>
                <c:pt idx="30">
                  <c:v>17147589</c:v>
                </c:pt>
                <c:pt idx="31">
                  <c:v>17227288.5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Goldens!$I$9:$I$45</c:f>
              <c:numCache>
                <c:formatCode>#,##0</c:formatCode>
                <c:ptCount val="32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  <c:pt idx="11">
                  <c:v>10455439.67</c:v>
                </c:pt>
                <c:pt idx="12">
                  <c:v>11279358.67</c:v>
                </c:pt>
                <c:pt idx="13">
                  <c:v>12039015.67</c:v>
                </c:pt>
                <c:pt idx="14">
                  <c:v>13036512.42</c:v>
                </c:pt>
                <c:pt idx="15">
                  <c:v>13592406.67</c:v>
                </c:pt>
                <c:pt idx="16">
                  <c:v>14486076.210000001</c:v>
                </c:pt>
                <c:pt idx="17">
                  <c:v>14870169.470000001</c:v>
                </c:pt>
                <c:pt idx="18">
                  <c:v>15147918.190000001</c:v>
                </c:pt>
                <c:pt idx="19">
                  <c:v>15237922.720000001</c:v>
                </c:pt>
                <c:pt idx="20">
                  <c:v>15336575.210000001</c:v>
                </c:pt>
                <c:pt idx="21">
                  <c:v>15336575.210000001</c:v>
                </c:pt>
                <c:pt idx="22">
                  <c:v>15336575.210000001</c:v>
                </c:pt>
                <c:pt idx="23">
                  <c:v>15336575.210000001</c:v>
                </c:pt>
                <c:pt idx="24">
                  <c:v>15336575.210000001</c:v>
                </c:pt>
                <c:pt idx="25">
                  <c:v>15336575.210000001</c:v>
                </c:pt>
                <c:pt idx="26">
                  <c:v>15336575.210000001</c:v>
                </c:pt>
                <c:pt idx="27">
                  <c:v>15336575.210000001</c:v>
                </c:pt>
                <c:pt idx="28">
                  <c:v>15336575.210000001</c:v>
                </c:pt>
                <c:pt idx="29">
                  <c:v>15336575.210000001</c:v>
                </c:pt>
                <c:pt idx="30">
                  <c:v>15336575.210000001</c:v>
                </c:pt>
                <c:pt idx="31">
                  <c:v>15336575.210000001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Goldens!$G$60:$G$96</c:f>
              <c:numCache>
                <c:formatCode>#,##0</c:formatCode>
                <c:ptCount val="32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11665160.810000002</c:v>
                </c:pt>
                <c:pt idx="11">
                  <c:v>12302097.810000002</c:v>
                </c:pt>
                <c:pt idx="12">
                  <c:v>13134814.310000002</c:v>
                </c:pt>
                <c:pt idx="13">
                  <c:v>13632451.810000002</c:v>
                </c:pt>
                <c:pt idx="14">
                  <c:v>13946709.310000002</c:v>
                </c:pt>
                <c:pt idx="15">
                  <c:v>14264242.310000002</c:v>
                </c:pt>
                <c:pt idx="16">
                  <c:v>14359159.810000002</c:v>
                </c:pt>
                <c:pt idx="17">
                  <c:v>14717789.310000002</c:v>
                </c:pt>
                <c:pt idx="18">
                  <c:v>15188503.310000002</c:v>
                </c:pt>
                <c:pt idx="19">
                  <c:v>15733847.310000002</c:v>
                </c:pt>
                <c:pt idx="20">
                  <c:v>15948599.610000003</c:v>
                </c:pt>
                <c:pt idx="21">
                  <c:v>16217342.310000002</c:v>
                </c:pt>
                <c:pt idx="22">
                  <c:v>16217470.810000002</c:v>
                </c:pt>
                <c:pt idx="23">
                  <c:v>16217470.810000002</c:v>
                </c:pt>
                <c:pt idx="24">
                  <c:v>16247198.810000002</c:v>
                </c:pt>
                <c:pt idx="25">
                  <c:v>16247198.810000002</c:v>
                </c:pt>
                <c:pt idx="26">
                  <c:v>16394636.810000002</c:v>
                </c:pt>
                <c:pt idx="27">
                  <c:v>16413829.310000002</c:v>
                </c:pt>
                <c:pt idx="28">
                  <c:v>16418149.310000002</c:v>
                </c:pt>
                <c:pt idx="29">
                  <c:v>16472940.310000002</c:v>
                </c:pt>
                <c:pt idx="30">
                  <c:v>16472940.310000002</c:v>
                </c:pt>
                <c:pt idx="31">
                  <c:v>16552639.810000002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Goldens!$I$60:$I$96</c:f>
              <c:numCache>
                <c:formatCode>#,##0</c:formatCode>
                <c:ptCount val="32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  <c:pt idx="11">
                  <c:v>9878730.5999999996</c:v>
                </c:pt>
                <c:pt idx="12">
                  <c:v>10702649.6</c:v>
                </c:pt>
                <c:pt idx="13">
                  <c:v>11462306.6</c:v>
                </c:pt>
                <c:pt idx="14">
                  <c:v>12459803.35</c:v>
                </c:pt>
                <c:pt idx="15">
                  <c:v>13015697.6</c:v>
                </c:pt>
                <c:pt idx="16">
                  <c:v>13909367.140000001</c:v>
                </c:pt>
                <c:pt idx="17">
                  <c:v>14293460.4</c:v>
                </c:pt>
                <c:pt idx="18">
                  <c:v>14571209.120000001</c:v>
                </c:pt>
                <c:pt idx="19">
                  <c:v>14661213.65</c:v>
                </c:pt>
                <c:pt idx="20">
                  <c:v>14759866.140000001</c:v>
                </c:pt>
                <c:pt idx="21">
                  <c:v>14759866.140000001</c:v>
                </c:pt>
                <c:pt idx="22">
                  <c:v>14759866.140000001</c:v>
                </c:pt>
                <c:pt idx="23">
                  <c:v>14759866.140000001</c:v>
                </c:pt>
                <c:pt idx="24">
                  <c:v>14759866.140000001</c:v>
                </c:pt>
                <c:pt idx="25">
                  <c:v>14759866.140000001</c:v>
                </c:pt>
                <c:pt idx="26">
                  <c:v>14759866.140000001</c:v>
                </c:pt>
                <c:pt idx="27">
                  <c:v>14759866.140000001</c:v>
                </c:pt>
                <c:pt idx="28">
                  <c:v>14759866.140000001</c:v>
                </c:pt>
                <c:pt idx="29">
                  <c:v>14759866.140000001</c:v>
                </c:pt>
                <c:pt idx="30">
                  <c:v>14759866.140000001</c:v>
                </c:pt>
                <c:pt idx="31">
                  <c:v>14759866.140000001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Goldens!$G$111:$G$147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3803</c:v>
                </c:pt>
                <c:pt idx="11">
                  <c:v>3803</c:v>
                </c:pt>
                <c:pt idx="12">
                  <c:v>3803</c:v>
                </c:pt>
                <c:pt idx="13">
                  <c:v>3803</c:v>
                </c:pt>
                <c:pt idx="14">
                  <c:v>3803</c:v>
                </c:pt>
                <c:pt idx="15">
                  <c:v>19360</c:v>
                </c:pt>
                <c:pt idx="16">
                  <c:v>19360</c:v>
                </c:pt>
                <c:pt idx="17">
                  <c:v>19360</c:v>
                </c:pt>
                <c:pt idx="18">
                  <c:v>19360</c:v>
                </c:pt>
                <c:pt idx="19">
                  <c:v>19360</c:v>
                </c:pt>
                <c:pt idx="20">
                  <c:v>19360</c:v>
                </c:pt>
                <c:pt idx="21">
                  <c:v>19360</c:v>
                </c:pt>
                <c:pt idx="22">
                  <c:v>19360</c:v>
                </c:pt>
                <c:pt idx="23">
                  <c:v>19360</c:v>
                </c:pt>
                <c:pt idx="24">
                  <c:v>19360</c:v>
                </c:pt>
                <c:pt idx="25">
                  <c:v>19360</c:v>
                </c:pt>
                <c:pt idx="26">
                  <c:v>19360</c:v>
                </c:pt>
                <c:pt idx="27">
                  <c:v>19360</c:v>
                </c:pt>
                <c:pt idx="28">
                  <c:v>19360</c:v>
                </c:pt>
                <c:pt idx="29">
                  <c:v>19360</c:v>
                </c:pt>
                <c:pt idx="30">
                  <c:v>19360</c:v>
                </c:pt>
                <c:pt idx="31">
                  <c:v>19360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Goldens!$I$111:$I$147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Goldens!$G$162:$G$198</c:f>
              <c:numCache>
                <c:formatCode>#,##0</c:formatCode>
                <c:ptCount val="32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  <c:pt idx="11">
                  <c:v>655288.69000000006</c:v>
                </c:pt>
                <c:pt idx="12">
                  <c:v>655288.69000000006</c:v>
                </c:pt>
                <c:pt idx="13">
                  <c:v>655288.69000000006</c:v>
                </c:pt>
                <c:pt idx="14">
                  <c:v>655288.69000000006</c:v>
                </c:pt>
                <c:pt idx="15">
                  <c:v>655288.69000000006</c:v>
                </c:pt>
                <c:pt idx="16">
                  <c:v>655288.69000000006</c:v>
                </c:pt>
                <c:pt idx="17">
                  <c:v>655288.69000000006</c:v>
                </c:pt>
                <c:pt idx="18">
                  <c:v>655288.69000000006</c:v>
                </c:pt>
                <c:pt idx="19">
                  <c:v>655288.69000000006</c:v>
                </c:pt>
                <c:pt idx="20">
                  <c:v>655288.69000000006</c:v>
                </c:pt>
                <c:pt idx="21">
                  <c:v>655288.69000000006</c:v>
                </c:pt>
                <c:pt idx="22">
                  <c:v>655288.69000000006</c:v>
                </c:pt>
                <c:pt idx="23">
                  <c:v>655288.69000000006</c:v>
                </c:pt>
                <c:pt idx="24">
                  <c:v>655288.69000000006</c:v>
                </c:pt>
                <c:pt idx="25">
                  <c:v>655288.69000000006</c:v>
                </c:pt>
                <c:pt idx="26">
                  <c:v>655288.69000000006</c:v>
                </c:pt>
                <c:pt idx="27">
                  <c:v>655288.69000000006</c:v>
                </c:pt>
                <c:pt idx="28">
                  <c:v>655288.69000000006</c:v>
                </c:pt>
                <c:pt idx="29">
                  <c:v>655288.69000000006</c:v>
                </c:pt>
                <c:pt idx="30">
                  <c:v>655288.69000000006</c:v>
                </c:pt>
                <c:pt idx="31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Goldens!$I$162:$I$198</c:f>
              <c:numCache>
                <c:formatCode>#,##0</c:formatCode>
                <c:ptCount val="32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  <c:pt idx="11">
                  <c:v>576709.06999999995</c:v>
                </c:pt>
                <c:pt idx="12">
                  <c:v>576709.06999999995</c:v>
                </c:pt>
                <c:pt idx="13">
                  <c:v>576709.06999999995</c:v>
                </c:pt>
                <c:pt idx="14">
                  <c:v>576709.06999999995</c:v>
                </c:pt>
                <c:pt idx="15">
                  <c:v>576709.06999999995</c:v>
                </c:pt>
                <c:pt idx="16">
                  <c:v>576709.06999999995</c:v>
                </c:pt>
                <c:pt idx="17">
                  <c:v>576709.06999999995</c:v>
                </c:pt>
                <c:pt idx="18">
                  <c:v>576709.06999999995</c:v>
                </c:pt>
                <c:pt idx="19">
                  <c:v>576709.06999999995</c:v>
                </c:pt>
                <c:pt idx="20">
                  <c:v>576709.06999999995</c:v>
                </c:pt>
                <c:pt idx="21">
                  <c:v>576709.06999999995</c:v>
                </c:pt>
                <c:pt idx="22">
                  <c:v>576709.06999999995</c:v>
                </c:pt>
                <c:pt idx="23">
                  <c:v>576709.06999999995</c:v>
                </c:pt>
                <c:pt idx="24">
                  <c:v>576709.06999999995</c:v>
                </c:pt>
                <c:pt idx="25">
                  <c:v>576709.06999999995</c:v>
                </c:pt>
                <c:pt idx="26">
                  <c:v>576709.06999999995</c:v>
                </c:pt>
                <c:pt idx="27">
                  <c:v>576709.06999999995</c:v>
                </c:pt>
                <c:pt idx="28">
                  <c:v>576709.06999999995</c:v>
                </c:pt>
                <c:pt idx="29">
                  <c:v>576709.06999999995</c:v>
                </c:pt>
                <c:pt idx="30">
                  <c:v>576709.06999999995</c:v>
                </c:pt>
                <c:pt idx="31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Currants!$G$9:$G$45</c:f>
              <c:numCache>
                <c:formatCode>#,##0</c:formatCode>
                <c:ptCount val="32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  <c:pt idx="11">
                  <c:v>3180393.4</c:v>
                </c:pt>
                <c:pt idx="12">
                  <c:v>3261823.9</c:v>
                </c:pt>
                <c:pt idx="13">
                  <c:v>3261823.9</c:v>
                </c:pt>
                <c:pt idx="14">
                  <c:v>3261823.9</c:v>
                </c:pt>
                <c:pt idx="15">
                  <c:v>3261823.9</c:v>
                </c:pt>
                <c:pt idx="16">
                  <c:v>3261823.9</c:v>
                </c:pt>
                <c:pt idx="17">
                  <c:v>3261823.9</c:v>
                </c:pt>
                <c:pt idx="18">
                  <c:v>3263308.4</c:v>
                </c:pt>
                <c:pt idx="19">
                  <c:v>3263308.4</c:v>
                </c:pt>
                <c:pt idx="20">
                  <c:v>3263308.4</c:v>
                </c:pt>
                <c:pt idx="21">
                  <c:v>3263308.4</c:v>
                </c:pt>
                <c:pt idx="22">
                  <c:v>3263308.4</c:v>
                </c:pt>
                <c:pt idx="23">
                  <c:v>3263308.4</c:v>
                </c:pt>
                <c:pt idx="24">
                  <c:v>3544809.4</c:v>
                </c:pt>
                <c:pt idx="25">
                  <c:v>3544809.4</c:v>
                </c:pt>
                <c:pt idx="26">
                  <c:v>3544809.4</c:v>
                </c:pt>
                <c:pt idx="27">
                  <c:v>3544809.4</c:v>
                </c:pt>
                <c:pt idx="28">
                  <c:v>3544809.4</c:v>
                </c:pt>
                <c:pt idx="29">
                  <c:v>3544809.4</c:v>
                </c:pt>
                <c:pt idx="30">
                  <c:v>3544809.4</c:v>
                </c:pt>
                <c:pt idx="31">
                  <c:v>3544809.4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Currants!$I$9:$I$45</c:f>
              <c:numCache>
                <c:formatCode>#,##0</c:formatCode>
                <c:ptCount val="32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  <c:pt idx="15">
                  <c:v>3957526</c:v>
                </c:pt>
                <c:pt idx="16">
                  <c:v>3957741</c:v>
                </c:pt>
                <c:pt idx="17">
                  <c:v>3963689</c:v>
                </c:pt>
                <c:pt idx="18">
                  <c:v>3973679.5</c:v>
                </c:pt>
                <c:pt idx="19">
                  <c:v>3973679.5</c:v>
                </c:pt>
                <c:pt idx="20">
                  <c:v>4255050.5199999996</c:v>
                </c:pt>
                <c:pt idx="21">
                  <c:v>4255050.5199999996</c:v>
                </c:pt>
                <c:pt idx="22">
                  <c:v>4255050.5199999996</c:v>
                </c:pt>
                <c:pt idx="23">
                  <c:v>4255050.5199999996</c:v>
                </c:pt>
                <c:pt idx="24">
                  <c:v>4255050.5199999996</c:v>
                </c:pt>
                <c:pt idx="25">
                  <c:v>4255050.5199999996</c:v>
                </c:pt>
                <c:pt idx="26">
                  <c:v>4255050.5199999996</c:v>
                </c:pt>
                <c:pt idx="27">
                  <c:v>4255050.5199999996</c:v>
                </c:pt>
                <c:pt idx="28">
                  <c:v>4255050.5199999996</c:v>
                </c:pt>
                <c:pt idx="29">
                  <c:v>4255050.5199999996</c:v>
                </c:pt>
                <c:pt idx="30">
                  <c:v>4255050.5199999996</c:v>
                </c:pt>
                <c:pt idx="31">
                  <c:v>4255050.5199999996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Currants!$G$60:$G$96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  <c:pt idx="11">
                  <c:v>32805.9</c:v>
                </c:pt>
                <c:pt idx="12">
                  <c:v>32805.9</c:v>
                </c:pt>
                <c:pt idx="13">
                  <c:v>32805.9</c:v>
                </c:pt>
                <c:pt idx="14">
                  <c:v>32805.9</c:v>
                </c:pt>
                <c:pt idx="15">
                  <c:v>32805.9</c:v>
                </c:pt>
                <c:pt idx="16">
                  <c:v>32805.9</c:v>
                </c:pt>
                <c:pt idx="17">
                  <c:v>32805.9</c:v>
                </c:pt>
                <c:pt idx="18">
                  <c:v>32805.9</c:v>
                </c:pt>
                <c:pt idx="19">
                  <c:v>32805.9</c:v>
                </c:pt>
                <c:pt idx="20">
                  <c:v>32805.9</c:v>
                </c:pt>
                <c:pt idx="21">
                  <c:v>32805.9</c:v>
                </c:pt>
                <c:pt idx="22">
                  <c:v>32805.9</c:v>
                </c:pt>
                <c:pt idx="23">
                  <c:v>32805.9</c:v>
                </c:pt>
                <c:pt idx="24">
                  <c:v>32805.9</c:v>
                </c:pt>
                <c:pt idx="25">
                  <c:v>32805.9</c:v>
                </c:pt>
                <c:pt idx="26">
                  <c:v>32805.9</c:v>
                </c:pt>
                <c:pt idx="27">
                  <c:v>32805.9</c:v>
                </c:pt>
                <c:pt idx="28">
                  <c:v>32805.9</c:v>
                </c:pt>
                <c:pt idx="29">
                  <c:v>32805.9</c:v>
                </c:pt>
                <c:pt idx="30">
                  <c:v>32805.9</c:v>
                </c:pt>
                <c:pt idx="31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Currants!$I$60:$I$96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Currants!$G$111:$G$147</c:f>
              <c:numCache>
                <c:formatCode>#,##0</c:formatCode>
                <c:ptCount val="32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  <c:pt idx="11">
                  <c:v>3147587.5</c:v>
                </c:pt>
                <c:pt idx="12">
                  <c:v>3229018</c:v>
                </c:pt>
                <c:pt idx="13">
                  <c:v>3229018</c:v>
                </c:pt>
                <c:pt idx="14">
                  <c:v>3229018</c:v>
                </c:pt>
                <c:pt idx="15">
                  <c:v>3229018</c:v>
                </c:pt>
                <c:pt idx="16">
                  <c:v>3229018</c:v>
                </c:pt>
                <c:pt idx="17">
                  <c:v>3229018</c:v>
                </c:pt>
                <c:pt idx="18">
                  <c:v>3230502.5</c:v>
                </c:pt>
                <c:pt idx="19">
                  <c:v>3230502.5</c:v>
                </c:pt>
                <c:pt idx="20">
                  <c:v>3230502.5</c:v>
                </c:pt>
                <c:pt idx="21">
                  <c:v>3230502.5</c:v>
                </c:pt>
                <c:pt idx="22">
                  <c:v>3230502.5</c:v>
                </c:pt>
                <c:pt idx="23">
                  <c:v>3230502.5</c:v>
                </c:pt>
                <c:pt idx="24">
                  <c:v>3512003.5</c:v>
                </c:pt>
                <c:pt idx="25">
                  <c:v>3512003.5</c:v>
                </c:pt>
                <c:pt idx="26">
                  <c:v>3512003.5</c:v>
                </c:pt>
                <c:pt idx="27">
                  <c:v>3512003.5</c:v>
                </c:pt>
                <c:pt idx="28">
                  <c:v>3512003.5</c:v>
                </c:pt>
                <c:pt idx="29">
                  <c:v>3512003.5</c:v>
                </c:pt>
                <c:pt idx="30">
                  <c:v>3512003.5</c:v>
                </c:pt>
                <c:pt idx="31">
                  <c:v>3512003.5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Currants!$I$111:$I$147</c:f>
              <c:numCache>
                <c:formatCode>#,##0</c:formatCode>
                <c:ptCount val="32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  <c:pt idx="15">
                  <c:v>3957526</c:v>
                </c:pt>
                <c:pt idx="16">
                  <c:v>3957741</c:v>
                </c:pt>
                <c:pt idx="17">
                  <c:v>3963689</c:v>
                </c:pt>
                <c:pt idx="18">
                  <c:v>3973679.5</c:v>
                </c:pt>
                <c:pt idx="19">
                  <c:v>3973679.5</c:v>
                </c:pt>
                <c:pt idx="20">
                  <c:v>4255050.5199999996</c:v>
                </c:pt>
                <c:pt idx="21">
                  <c:v>4255050.5199999996</c:v>
                </c:pt>
                <c:pt idx="22">
                  <c:v>4255050.5199999996</c:v>
                </c:pt>
                <c:pt idx="23">
                  <c:v>4255050.5199999996</c:v>
                </c:pt>
                <c:pt idx="24">
                  <c:v>4255050.5199999996</c:v>
                </c:pt>
                <c:pt idx="25">
                  <c:v>4255050.5199999996</c:v>
                </c:pt>
                <c:pt idx="26">
                  <c:v>4255050.5199999996</c:v>
                </c:pt>
                <c:pt idx="27">
                  <c:v>4255050.5199999996</c:v>
                </c:pt>
                <c:pt idx="28">
                  <c:v>4255050.5199999996</c:v>
                </c:pt>
                <c:pt idx="29">
                  <c:v>4255050.5199999996</c:v>
                </c:pt>
                <c:pt idx="30">
                  <c:v>4255050.5199999996</c:v>
                </c:pt>
                <c:pt idx="31">
                  <c:v>4255050.5199999996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Currants!$G$162:$G$198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Currants!$I$162:$I$198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96156624423893"/>
          <c:y val="8.9799701113246325E-2"/>
          <c:w val="0.86040662970786463"/>
          <c:h val="0.7286682041667133"/>
        </c:manualLayout>
      </c:layout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Other!$G$9:$G$45</c:f>
              <c:numCache>
                <c:formatCode>#,##0</c:formatCode>
                <c:ptCount val="32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1270280.7600000002</c:v>
                </c:pt>
                <c:pt idx="7">
                  <c:v>1436862.2800000003</c:v>
                </c:pt>
                <c:pt idx="8">
                  <c:v>1636638.7800000003</c:v>
                </c:pt>
                <c:pt idx="9">
                  <c:v>1865570.7800000003</c:v>
                </c:pt>
                <c:pt idx="10">
                  <c:v>1909937.2900000003</c:v>
                </c:pt>
                <c:pt idx="11">
                  <c:v>2029361.2900000003</c:v>
                </c:pt>
                <c:pt idx="12">
                  <c:v>2111927.79</c:v>
                </c:pt>
                <c:pt idx="13">
                  <c:v>2173077.29</c:v>
                </c:pt>
                <c:pt idx="14">
                  <c:v>2215881.79</c:v>
                </c:pt>
                <c:pt idx="15">
                  <c:v>2265335.29</c:v>
                </c:pt>
                <c:pt idx="16">
                  <c:v>2286975.79</c:v>
                </c:pt>
                <c:pt idx="17">
                  <c:v>2310889.79</c:v>
                </c:pt>
                <c:pt idx="18">
                  <c:v>2406669.29</c:v>
                </c:pt>
                <c:pt idx="19">
                  <c:v>2528554.29</c:v>
                </c:pt>
                <c:pt idx="20">
                  <c:v>2535724.29</c:v>
                </c:pt>
                <c:pt idx="21">
                  <c:v>2562698.79</c:v>
                </c:pt>
                <c:pt idx="22">
                  <c:v>2563082.69</c:v>
                </c:pt>
                <c:pt idx="23">
                  <c:v>2597927.69</c:v>
                </c:pt>
                <c:pt idx="24">
                  <c:v>2654260.69</c:v>
                </c:pt>
                <c:pt idx="25">
                  <c:v>2654260.69</c:v>
                </c:pt>
                <c:pt idx="26">
                  <c:v>2668445.69</c:v>
                </c:pt>
                <c:pt idx="27">
                  <c:v>2669629.69</c:v>
                </c:pt>
                <c:pt idx="28">
                  <c:v>2669629.69</c:v>
                </c:pt>
                <c:pt idx="29">
                  <c:v>2648519.69</c:v>
                </c:pt>
                <c:pt idx="30">
                  <c:v>2648519.69</c:v>
                </c:pt>
                <c:pt idx="31">
                  <c:v>2648478.69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Other!$B$9:$B$45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Other!$I$9:$I$45</c:f>
              <c:numCache>
                <c:formatCode>#,##0</c:formatCode>
                <c:ptCount val="32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  <c:pt idx="11">
                  <c:v>2468845.38</c:v>
                </c:pt>
                <c:pt idx="12">
                  <c:v>2562917.65</c:v>
                </c:pt>
                <c:pt idx="13">
                  <c:v>2597322.16</c:v>
                </c:pt>
                <c:pt idx="14">
                  <c:v>2706806.67</c:v>
                </c:pt>
                <c:pt idx="15">
                  <c:v>2742180.17</c:v>
                </c:pt>
                <c:pt idx="16">
                  <c:v>2820507.19</c:v>
                </c:pt>
                <c:pt idx="17">
                  <c:v>2833035.69</c:v>
                </c:pt>
                <c:pt idx="18">
                  <c:v>2833343.69</c:v>
                </c:pt>
                <c:pt idx="19">
                  <c:v>2833343.69</c:v>
                </c:pt>
                <c:pt idx="20">
                  <c:v>2641992.69</c:v>
                </c:pt>
                <c:pt idx="21">
                  <c:v>2641992.69</c:v>
                </c:pt>
                <c:pt idx="22">
                  <c:v>2641992.69</c:v>
                </c:pt>
                <c:pt idx="23">
                  <c:v>2641992.69</c:v>
                </c:pt>
                <c:pt idx="24">
                  <c:v>2641992.69</c:v>
                </c:pt>
                <c:pt idx="25">
                  <c:v>2641992.69</c:v>
                </c:pt>
                <c:pt idx="26">
                  <c:v>2641992.69</c:v>
                </c:pt>
                <c:pt idx="27">
                  <c:v>2641992.69</c:v>
                </c:pt>
                <c:pt idx="28">
                  <c:v>2641992.69</c:v>
                </c:pt>
                <c:pt idx="29">
                  <c:v>2641992.69</c:v>
                </c:pt>
                <c:pt idx="30">
                  <c:v>2641992.69</c:v>
                </c:pt>
                <c:pt idx="31">
                  <c:v>2641992.69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layout>
            <c:manualLayout>
              <c:xMode val="edge"/>
              <c:yMode val="edge"/>
              <c:x val="0.52203653028213914"/>
              <c:y val="0.8726410785152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Other!$G$60:$G$96</c:f>
              <c:numCache>
                <c:formatCode>#,##0</c:formatCode>
                <c:ptCount val="32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1201023.6099999999</c:v>
                </c:pt>
                <c:pt idx="7">
                  <c:v>1362530.1199999999</c:v>
                </c:pt>
                <c:pt idx="8">
                  <c:v>1522675.6199999999</c:v>
                </c:pt>
                <c:pt idx="9">
                  <c:v>1727121.1199999999</c:v>
                </c:pt>
                <c:pt idx="10">
                  <c:v>1767387.63</c:v>
                </c:pt>
                <c:pt idx="11">
                  <c:v>1855491.13</c:v>
                </c:pt>
                <c:pt idx="12">
                  <c:v>1903382.13</c:v>
                </c:pt>
                <c:pt idx="13">
                  <c:v>1926245.13</c:v>
                </c:pt>
                <c:pt idx="14">
                  <c:v>1942932.63</c:v>
                </c:pt>
                <c:pt idx="15">
                  <c:v>1963459.13</c:v>
                </c:pt>
                <c:pt idx="16">
                  <c:v>1978048.13</c:v>
                </c:pt>
                <c:pt idx="17">
                  <c:v>2001962.13</c:v>
                </c:pt>
                <c:pt idx="18">
                  <c:v>2097741.63</c:v>
                </c:pt>
                <c:pt idx="19">
                  <c:v>2196334.13</c:v>
                </c:pt>
                <c:pt idx="20">
                  <c:v>2203504.13</c:v>
                </c:pt>
                <c:pt idx="21">
                  <c:v>2230478.63</c:v>
                </c:pt>
                <c:pt idx="22">
                  <c:v>2230862.5299999998</c:v>
                </c:pt>
                <c:pt idx="23">
                  <c:v>2265707.5299999998</c:v>
                </c:pt>
                <c:pt idx="24">
                  <c:v>2307082.0299999998</c:v>
                </c:pt>
                <c:pt idx="25">
                  <c:v>2307082.0299999998</c:v>
                </c:pt>
                <c:pt idx="26">
                  <c:v>2321267.0299999998</c:v>
                </c:pt>
                <c:pt idx="27">
                  <c:v>2322451.0299999998</c:v>
                </c:pt>
                <c:pt idx="28">
                  <c:v>2322451.0299999998</c:v>
                </c:pt>
                <c:pt idx="29">
                  <c:v>2301341.0299999998</c:v>
                </c:pt>
                <c:pt idx="30">
                  <c:v>2301341.0299999998</c:v>
                </c:pt>
                <c:pt idx="31">
                  <c:v>2301300.0299999998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Other!$B$60:$B$96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Other!$I$60:$I$96</c:f>
              <c:numCache>
                <c:formatCode>#,##0</c:formatCode>
                <c:ptCount val="32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  <c:pt idx="11">
                  <c:v>1485669.35</c:v>
                </c:pt>
                <c:pt idx="12">
                  <c:v>1578334.12</c:v>
                </c:pt>
                <c:pt idx="13">
                  <c:v>1589385.62</c:v>
                </c:pt>
                <c:pt idx="14">
                  <c:v>1641236.62</c:v>
                </c:pt>
                <c:pt idx="15">
                  <c:v>1647881.62</c:v>
                </c:pt>
                <c:pt idx="16">
                  <c:v>1678619.62</c:v>
                </c:pt>
                <c:pt idx="17">
                  <c:v>1687678.12</c:v>
                </c:pt>
                <c:pt idx="18">
                  <c:v>1687986.12</c:v>
                </c:pt>
                <c:pt idx="19">
                  <c:v>1687986.12</c:v>
                </c:pt>
                <c:pt idx="20">
                  <c:v>1496635.12</c:v>
                </c:pt>
                <c:pt idx="21">
                  <c:v>1496635.12</c:v>
                </c:pt>
                <c:pt idx="22">
                  <c:v>1496635.12</c:v>
                </c:pt>
                <c:pt idx="23">
                  <c:v>1496635.12</c:v>
                </c:pt>
                <c:pt idx="24">
                  <c:v>1496635.12</c:v>
                </c:pt>
                <c:pt idx="25">
                  <c:v>1496635.12</c:v>
                </c:pt>
                <c:pt idx="26">
                  <c:v>1496635.12</c:v>
                </c:pt>
                <c:pt idx="27">
                  <c:v>1496635.12</c:v>
                </c:pt>
                <c:pt idx="28">
                  <c:v>1496635.12</c:v>
                </c:pt>
                <c:pt idx="29">
                  <c:v>1496635.12</c:v>
                </c:pt>
                <c:pt idx="30">
                  <c:v>1496635.12</c:v>
                </c:pt>
                <c:pt idx="31">
                  <c:v>1496635.12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Other!$G$111:$G$147</c:f>
              <c:numCache>
                <c:formatCode>#,##0</c:formatCode>
                <c:ptCount val="32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  <c:pt idx="11">
                  <c:v>136346.04999999999</c:v>
                </c:pt>
                <c:pt idx="12">
                  <c:v>171021.55</c:v>
                </c:pt>
                <c:pt idx="13">
                  <c:v>209308.05</c:v>
                </c:pt>
                <c:pt idx="14">
                  <c:v>235425.05</c:v>
                </c:pt>
                <c:pt idx="15">
                  <c:v>264352.05</c:v>
                </c:pt>
                <c:pt idx="16">
                  <c:v>271403.55</c:v>
                </c:pt>
                <c:pt idx="17">
                  <c:v>271403.55</c:v>
                </c:pt>
                <c:pt idx="18">
                  <c:v>271403.55</c:v>
                </c:pt>
                <c:pt idx="19">
                  <c:v>294696.05</c:v>
                </c:pt>
                <c:pt idx="20">
                  <c:v>294696.05</c:v>
                </c:pt>
                <c:pt idx="21">
                  <c:v>294696.05</c:v>
                </c:pt>
                <c:pt idx="22">
                  <c:v>294696.05</c:v>
                </c:pt>
                <c:pt idx="23">
                  <c:v>294696.05</c:v>
                </c:pt>
                <c:pt idx="24">
                  <c:v>309654.05</c:v>
                </c:pt>
                <c:pt idx="25">
                  <c:v>309654.05</c:v>
                </c:pt>
                <c:pt idx="26">
                  <c:v>309654.05</c:v>
                </c:pt>
                <c:pt idx="27">
                  <c:v>309654.05</c:v>
                </c:pt>
                <c:pt idx="28">
                  <c:v>309654.05</c:v>
                </c:pt>
                <c:pt idx="29">
                  <c:v>309654.05</c:v>
                </c:pt>
                <c:pt idx="30">
                  <c:v>309654.05</c:v>
                </c:pt>
                <c:pt idx="31">
                  <c:v>309654.05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Other!$B$111:$B$147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Other!$I$111:$I$147</c:f>
              <c:numCache>
                <c:formatCode>#,##0</c:formatCode>
                <c:ptCount val="32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  <c:pt idx="11">
                  <c:v>563362.44000000006</c:v>
                </c:pt>
                <c:pt idx="12">
                  <c:v>564769.93999999994</c:v>
                </c:pt>
                <c:pt idx="13">
                  <c:v>588122.94999999995</c:v>
                </c:pt>
                <c:pt idx="14">
                  <c:v>645756.46</c:v>
                </c:pt>
                <c:pt idx="15">
                  <c:v>674484.96</c:v>
                </c:pt>
                <c:pt idx="16">
                  <c:v>716774.98</c:v>
                </c:pt>
                <c:pt idx="17">
                  <c:v>720244.98</c:v>
                </c:pt>
                <c:pt idx="18">
                  <c:v>720244.98</c:v>
                </c:pt>
                <c:pt idx="19">
                  <c:v>720244.98</c:v>
                </c:pt>
                <c:pt idx="20">
                  <c:v>720244.98</c:v>
                </c:pt>
                <c:pt idx="21">
                  <c:v>720244.98</c:v>
                </c:pt>
                <c:pt idx="22">
                  <c:v>720244.98</c:v>
                </c:pt>
                <c:pt idx="23">
                  <c:v>720244.98</c:v>
                </c:pt>
                <c:pt idx="24">
                  <c:v>720244.98</c:v>
                </c:pt>
                <c:pt idx="25">
                  <c:v>720244.98</c:v>
                </c:pt>
                <c:pt idx="26">
                  <c:v>720244.98</c:v>
                </c:pt>
                <c:pt idx="27">
                  <c:v>720244.98</c:v>
                </c:pt>
                <c:pt idx="28">
                  <c:v>720244.98</c:v>
                </c:pt>
                <c:pt idx="29">
                  <c:v>720244.98</c:v>
                </c:pt>
                <c:pt idx="30">
                  <c:v>720244.98</c:v>
                </c:pt>
                <c:pt idx="31">
                  <c:v>720244.98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Other!$G$162:$G$198</c:f>
              <c:numCache>
                <c:formatCode>#,##0</c:formatCode>
                <c:ptCount val="32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  <c:pt idx="11">
                  <c:v>37524.11</c:v>
                </c:pt>
                <c:pt idx="12">
                  <c:v>37524.11</c:v>
                </c:pt>
                <c:pt idx="13">
                  <c:v>37524.11</c:v>
                </c:pt>
                <c:pt idx="14">
                  <c:v>37524.11</c:v>
                </c:pt>
                <c:pt idx="15">
                  <c:v>37524.11</c:v>
                </c:pt>
                <c:pt idx="16">
                  <c:v>37524.11</c:v>
                </c:pt>
                <c:pt idx="17">
                  <c:v>37524.11</c:v>
                </c:pt>
                <c:pt idx="18">
                  <c:v>37524.11</c:v>
                </c:pt>
                <c:pt idx="19">
                  <c:v>37524.11</c:v>
                </c:pt>
                <c:pt idx="20">
                  <c:v>37524.11</c:v>
                </c:pt>
                <c:pt idx="21">
                  <c:v>37524.11</c:v>
                </c:pt>
                <c:pt idx="22">
                  <c:v>37524.11</c:v>
                </c:pt>
                <c:pt idx="23">
                  <c:v>37524.11</c:v>
                </c:pt>
                <c:pt idx="24">
                  <c:v>37524.11</c:v>
                </c:pt>
                <c:pt idx="25">
                  <c:v>37524.11</c:v>
                </c:pt>
                <c:pt idx="26">
                  <c:v>37524.11</c:v>
                </c:pt>
                <c:pt idx="27">
                  <c:v>37524.11</c:v>
                </c:pt>
                <c:pt idx="28">
                  <c:v>37524.11</c:v>
                </c:pt>
                <c:pt idx="29">
                  <c:v>37524.11</c:v>
                </c:pt>
                <c:pt idx="30">
                  <c:v>37524.11</c:v>
                </c:pt>
                <c:pt idx="31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Other!$B$162:$B$198</c:f>
              <c:numCache>
                <c:formatCode>General</c:formatCode>
                <c:ptCount val="3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</c:numCache>
            </c:numRef>
          </c:cat>
          <c:val>
            <c:numRef>
              <c:f>Other!$I$162:$I$198</c:f>
              <c:numCache>
                <c:formatCode>#,##0</c:formatCode>
                <c:ptCount val="32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  <c:pt idx="11">
                  <c:v>419813.59</c:v>
                </c:pt>
                <c:pt idx="12">
                  <c:v>419813.59</c:v>
                </c:pt>
                <c:pt idx="13">
                  <c:v>419813.59</c:v>
                </c:pt>
                <c:pt idx="14">
                  <c:v>419813.59</c:v>
                </c:pt>
                <c:pt idx="15">
                  <c:v>419813.59</c:v>
                </c:pt>
                <c:pt idx="16">
                  <c:v>425112.59</c:v>
                </c:pt>
                <c:pt idx="17">
                  <c:v>425112.59</c:v>
                </c:pt>
                <c:pt idx="18">
                  <c:v>425112.59</c:v>
                </c:pt>
                <c:pt idx="19">
                  <c:v>425112.59</c:v>
                </c:pt>
                <c:pt idx="20">
                  <c:v>425112.59</c:v>
                </c:pt>
                <c:pt idx="21">
                  <c:v>425112.59</c:v>
                </c:pt>
                <c:pt idx="22">
                  <c:v>425112.59</c:v>
                </c:pt>
                <c:pt idx="23">
                  <c:v>425112.59</c:v>
                </c:pt>
                <c:pt idx="24">
                  <c:v>425112.59</c:v>
                </c:pt>
                <c:pt idx="25">
                  <c:v>425112.59</c:v>
                </c:pt>
                <c:pt idx="26">
                  <c:v>425112.59</c:v>
                </c:pt>
                <c:pt idx="27">
                  <c:v>425112.59</c:v>
                </c:pt>
                <c:pt idx="28">
                  <c:v>425112.59</c:v>
                </c:pt>
                <c:pt idx="29">
                  <c:v>425112.59</c:v>
                </c:pt>
                <c:pt idx="30">
                  <c:v>425112.59</c:v>
                </c:pt>
                <c:pt idx="31">
                  <c:v>425112.59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51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102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154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134937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599440</xdr:colOff>
      <xdr:row>3</xdr:row>
      <xdr:rowOff>193040</xdr:rowOff>
    </xdr:from>
    <xdr:to>
      <xdr:col>24</xdr:col>
      <xdr:colOff>13343</xdr:colOff>
      <xdr:row>29</xdr:row>
      <xdr:rowOff>85548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884E7C-2359-430B-9DA8-64C748661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640080</xdr:colOff>
      <xdr:row>54</xdr:row>
      <xdr:rowOff>182880</xdr:rowOff>
    </xdr:from>
    <xdr:to>
      <xdr:col>24</xdr:col>
      <xdr:colOff>53983</xdr:colOff>
      <xdr:row>80</xdr:row>
      <xdr:rowOff>85548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AC5A45D-BCC8-4A24-BC5A-EEC49A1051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731520</xdr:colOff>
      <xdr:row>106</xdr:row>
      <xdr:rowOff>10160</xdr:rowOff>
    </xdr:from>
    <xdr:to>
      <xdr:col>24</xdr:col>
      <xdr:colOff>145423</xdr:colOff>
      <xdr:row>131</xdr:row>
      <xdr:rowOff>105868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C8CBC98-1D61-4453-8B28-73FFB55E6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660400</xdr:colOff>
      <xdr:row>157</xdr:row>
      <xdr:rowOff>10160</xdr:rowOff>
    </xdr:from>
    <xdr:to>
      <xdr:col>24</xdr:col>
      <xdr:colOff>74303</xdr:colOff>
      <xdr:row>182</xdr:row>
      <xdr:rowOff>116028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1702425-1BFB-45DB-BF41-7217444C4E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51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153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634</xdr:colOff>
      <xdr:row>1</xdr:row>
      <xdr:rowOff>167640</xdr:rowOff>
    </xdr:from>
    <xdr:to>
      <xdr:col>22</xdr:col>
      <xdr:colOff>554634</xdr:colOff>
      <xdr:row>27</xdr:row>
      <xdr:rowOff>123195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544829</xdr:colOff>
      <xdr:row>54</xdr:row>
      <xdr:rowOff>74294</xdr:rowOff>
    </xdr:from>
    <xdr:to>
      <xdr:col>22</xdr:col>
      <xdr:colOff>540029</xdr:colOff>
      <xdr:row>80</xdr:row>
      <xdr:rowOff>34294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1904</xdr:colOff>
      <xdr:row>105</xdr:row>
      <xdr:rowOff>41910</xdr:rowOff>
    </xdr:from>
    <xdr:to>
      <xdr:col>22</xdr:col>
      <xdr:colOff>545744</xdr:colOff>
      <xdr:row>131</xdr:row>
      <xdr:rowOff>12070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477520</xdr:colOff>
      <xdr:row>155</xdr:row>
      <xdr:rowOff>15874</xdr:rowOff>
    </xdr:from>
    <xdr:to>
      <xdr:col>22</xdr:col>
      <xdr:colOff>472720</xdr:colOff>
      <xdr:row>180</xdr:row>
      <xdr:rowOff>148594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102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51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102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153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544829</xdr:colOff>
      <xdr:row>1</xdr:row>
      <xdr:rowOff>152401</xdr:rowOff>
    </xdr:from>
    <xdr:to>
      <xdr:col>23</xdr:col>
      <xdr:colOff>387629</xdr:colOff>
      <xdr:row>27</xdr:row>
      <xdr:rowOff>96526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544829</xdr:colOff>
      <xdr:row>52</xdr:row>
      <xdr:rowOff>161925</xdr:rowOff>
    </xdr:from>
    <xdr:to>
      <xdr:col>23</xdr:col>
      <xdr:colOff>387629</xdr:colOff>
      <xdr:row>78</xdr:row>
      <xdr:rowOff>115575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548640</xdr:colOff>
      <xdr:row>103</xdr:row>
      <xdr:rowOff>179069</xdr:rowOff>
    </xdr:from>
    <xdr:to>
      <xdr:col>23</xdr:col>
      <xdr:colOff>391440</xdr:colOff>
      <xdr:row>129</xdr:row>
      <xdr:rowOff>113669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552449</xdr:colOff>
      <xdr:row>154</xdr:row>
      <xdr:rowOff>200025</xdr:rowOff>
    </xdr:from>
    <xdr:to>
      <xdr:col>23</xdr:col>
      <xdr:colOff>395249</xdr:colOff>
      <xdr:row>180</xdr:row>
      <xdr:rowOff>134625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51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102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153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544829</xdr:colOff>
      <xdr:row>1</xdr:row>
      <xdr:rowOff>161924</xdr:rowOff>
    </xdr:from>
    <xdr:to>
      <xdr:col>23</xdr:col>
      <xdr:colOff>243250</xdr:colOff>
      <xdr:row>27</xdr:row>
      <xdr:rowOff>108556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544829</xdr:colOff>
      <xdr:row>103</xdr:row>
      <xdr:rowOff>200025</xdr:rowOff>
    </xdr:from>
    <xdr:to>
      <xdr:col>23</xdr:col>
      <xdr:colOff>243250</xdr:colOff>
      <xdr:row>129</xdr:row>
      <xdr:rowOff>146656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53</xdr:row>
      <xdr:rowOff>0</xdr:rowOff>
    </xdr:from>
    <xdr:to>
      <xdr:col>23</xdr:col>
      <xdr:colOff>249868</xdr:colOff>
      <xdr:row>78</xdr:row>
      <xdr:rowOff>157184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30079</xdr:colOff>
      <xdr:row>155</xdr:row>
      <xdr:rowOff>20053</xdr:rowOff>
    </xdr:from>
    <xdr:to>
      <xdr:col>23</xdr:col>
      <xdr:colOff>279947</xdr:colOff>
      <xdr:row>181</xdr:row>
      <xdr:rowOff>56922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51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102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153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37658</xdr:colOff>
      <xdr:row>2</xdr:row>
      <xdr:rowOff>181415</xdr:rowOff>
    </xdr:from>
    <xdr:to>
      <xdr:col>23</xdr:col>
      <xdr:colOff>493966</xdr:colOff>
      <xdr:row>28</xdr:row>
      <xdr:rowOff>13048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1904</xdr:colOff>
      <xdr:row>153</xdr:row>
      <xdr:rowOff>161924</xdr:rowOff>
    </xdr:from>
    <xdr:to>
      <xdr:col>23</xdr:col>
      <xdr:colOff>458212</xdr:colOff>
      <xdr:row>179</xdr:row>
      <xdr:rowOff>34001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7619</xdr:colOff>
      <xdr:row>52</xdr:row>
      <xdr:rowOff>190500</xdr:rowOff>
    </xdr:from>
    <xdr:to>
      <xdr:col>23</xdr:col>
      <xdr:colOff>463927</xdr:colOff>
      <xdr:row>78</xdr:row>
      <xdr:rowOff>33269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523875</xdr:colOff>
      <xdr:row>103</xdr:row>
      <xdr:rowOff>209549</xdr:rowOff>
    </xdr:from>
    <xdr:to>
      <xdr:col>23</xdr:col>
      <xdr:colOff>433106</xdr:colOff>
      <xdr:row>129</xdr:row>
      <xdr:rowOff>42549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51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102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153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230975</xdr:colOff>
      <xdr:row>2</xdr:row>
      <xdr:rowOff>62534</xdr:rowOff>
    </xdr:from>
    <xdr:to>
      <xdr:col>23</xdr:col>
      <xdr:colOff>122366</xdr:colOff>
      <xdr:row>27</xdr:row>
      <xdr:rowOff>77751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296655</xdr:colOff>
      <xdr:row>53</xdr:row>
      <xdr:rowOff>174128</xdr:rowOff>
    </xdr:from>
    <xdr:to>
      <xdr:col>23</xdr:col>
      <xdr:colOff>188046</xdr:colOff>
      <xdr:row>79</xdr:row>
      <xdr:rowOff>156215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410512</xdr:colOff>
      <xdr:row>103</xdr:row>
      <xdr:rowOff>172968</xdr:rowOff>
    </xdr:from>
    <xdr:to>
      <xdr:col>23</xdr:col>
      <xdr:colOff>301903</xdr:colOff>
      <xdr:row>128</xdr:row>
      <xdr:rowOff>166098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484007</xdr:colOff>
      <xdr:row>155</xdr:row>
      <xdr:rowOff>72639</xdr:rowOff>
    </xdr:from>
    <xdr:to>
      <xdr:col>23</xdr:col>
      <xdr:colOff>377303</xdr:colOff>
      <xdr:row>180</xdr:row>
      <xdr:rowOff>91666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51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102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153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544829</xdr:colOff>
      <xdr:row>1</xdr:row>
      <xdr:rowOff>161925</xdr:rowOff>
    </xdr:from>
    <xdr:to>
      <xdr:col>23</xdr:col>
      <xdr:colOff>193119</xdr:colOff>
      <xdr:row>27</xdr:row>
      <xdr:rowOff>138636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52</xdr:row>
      <xdr:rowOff>188995</xdr:rowOff>
    </xdr:from>
    <xdr:to>
      <xdr:col>23</xdr:col>
      <xdr:colOff>193120</xdr:colOff>
      <xdr:row>78</xdr:row>
      <xdr:rowOff>135627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551446</xdr:colOff>
      <xdr:row>104</xdr:row>
      <xdr:rowOff>1</xdr:rowOff>
    </xdr:from>
    <xdr:to>
      <xdr:col>23</xdr:col>
      <xdr:colOff>199736</xdr:colOff>
      <xdr:row>129</xdr:row>
      <xdr:rowOff>157185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530190</xdr:colOff>
      <xdr:row>155</xdr:row>
      <xdr:rowOff>87731</xdr:rowOff>
    </xdr:from>
    <xdr:to>
      <xdr:col>23</xdr:col>
      <xdr:colOff>176575</xdr:colOff>
      <xdr:row>181</xdr:row>
      <xdr:rowOff>85698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51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102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153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24129</xdr:colOff>
      <xdr:row>3</xdr:row>
      <xdr:rowOff>94615</xdr:rowOff>
    </xdr:from>
    <xdr:to>
      <xdr:col>23</xdr:col>
      <xdr:colOff>421919</xdr:colOff>
      <xdr:row>29</xdr:row>
      <xdr:rowOff>69220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53</xdr:row>
      <xdr:rowOff>0</xdr:rowOff>
    </xdr:from>
    <xdr:to>
      <xdr:col>23</xdr:col>
      <xdr:colOff>401600</xdr:colOff>
      <xdr:row>78</xdr:row>
      <xdr:rowOff>92080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104</xdr:row>
      <xdr:rowOff>0</xdr:rowOff>
    </xdr:from>
    <xdr:to>
      <xdr:col>23</xdr:col>
      <xdr:colOff>401600</xdr:colOff>
      <xdr:row>129</xdr:row>
      <xdr:rowOff>92080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155</xdr:row>
      <xdr:rowOff>0</xdr:rowOff>
    </xdr:from>
    <xdr:to>
      <xdr:col>23</xdr:col>
      <xdr:colOff>401600</xdr:colOff>
      <xdr:row>180</xdr:row>
      <xdr:rowOff>92080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-87630</xdr:colOff>
      <xdr:row>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7BEAE-F33C-40C0-87D1-B2072FCE7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762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49</xdr:row>
      <xdr:rowOff>47625</xdr:rowOff>
    </xdr:from>
    <xdr:to>
      <xdr:col>2</xdr:col>
      <xdr:colOff>1275927</xdr:colOff>
      <xdr:row>52</xdr:row>
      <xdr:rowOff>16937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BD6121-3ED2-45A5-BF4C-1B7E873068E4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611314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1203537</xdr:colOff>
      <xdr:row>6</xdr:row>
      <xdr:rowOff>133778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FCEE76-EA6F-4B39-AE6D-C17BDA7EE3E7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13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95</xdr:row>
      <xdr:rowOff>114300</xdr:rowOff>
    </xdr:from>
    <xdr:to>
      <xdr:col>2</xdr:col>
      <xdr:colOff>1277832</xdr:colOff>
      <xdr:row>98</xdr:row>
      <xdr:rowOff>98854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16F7BD-7530-47B3-9D33-0D7979C2C60C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175766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141</xdr:row>
      <xdr:rowOff>107950</xdr:rowOff>
    </xdr:from>
    <xdr:to>
      <xdr:col>2</xdr:col>
      <xdr:colOff>1279737</xdr:colOff>
      <xdr:row>144</xdr:row>
      <xdr:rowOff>96313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040F813-95A3-4E70-A02B-3EFD424C9531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7329150"/>
          <a:ext cx="153543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189</xdr:row>
      <xdr:rowOff>114300</xdr:rowOff>
    </xdr:from>
    <xdr:to>
      <xdr:col>2</xdr:col>
      <xdr:colOff>1279737</xdr:colOff>
      <xdr:row>192</xdr:row>
      <xdr:rowOff>133145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5216B8-521E-4C9B-A0A4-1ABCB2BBBBE0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327148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235</xdr:row>
      <xdr:rowOff>104775</xdr:rowOff>
    </xdr:from>
    <xdr:to>
      <xdr:col>2</xdr:col>
      <xdr:colOff>1275927</xdr:colOff>
      <xdr:row>238</xdr:row>
      <xdr:rowOff>96948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9B033D-E4FD-47B9-9315-53DF3222EF8B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880169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281</xdr:row>
      <xdr:rowOff>114300</xdr:rowOff>
    </xdr:from>
    <xdr:to>
      <xdr:col>2</xdr:col>
      <xdr:colOff>1277832</xdr:colOff>
      <xdr:row>284</xdr:row>
      <xdr:rowOff>98854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74D1AF5-BAA3-4298-82C0-793D9A3AFC5C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4381440"/>
          <a:ext cx="152400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326</xdr:row>
      <xdr:rowOff>142875</xdr:rowOff>
    </xdr:from>
    <xdr:to>
      <xdr:col>2</xdr:col>
      <xdr:colOff>1275927</xdr:colOff>
      <xdr:row>329</xdr:row>
      <xdr:rowOff>133143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153AC36-DC76-449F-8AF5-61B43D074DA4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9797355"/>
          <a:ext cx="1541145" cy="5846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375</xdr:row>
      <xdr:rowOff>79375</xdr:rowOff>
    </xdr:from>
    <xdr:to>
      <xdr:col>2</xdr:col>
      <xdr:colOff>1277832</xdr:colOff>
      <xdr:row>378</xdr:row>
      <xdr:rowOff>113460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AC87EC0-FD96-464A-87F0-3867B75C6789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45860335"/>
          <a:ext cx="152400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421</xdr:row>
      <xdr:rowOff>114300</xdr:rowOff>
    </xdr:from>
    <xdr:to>
      <xdr:col>2</xdr:col>
      <xdr:colOff>1314027</xdr:colOff>
      <xdr:row>424</xdr:row>
      <xdr:rowOff>98854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E182AA6-3A95-4B7A-9D6A-6807B3BFF5AC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51427380"/>
          <a:ext cx="1541145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467</xdr:row>
      <xdr:rowOff>95250</xdr:rowOff>
    </xdr:from>
    <xdr:to>
      <xdr:col>2</xdr:col>
      <xdr:colOff>1315932</xdr:colOff>
      <xdr:row>470</xdr:row>
      <xdr:rowOff>56943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B3289C7-AE8E-4319-959E-BBC74E3B13FE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56978550"/>
          <a:ext cx="1524000" cy="571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513</xdr:row>
      <xdr:rowOff>114300</xdr:rowOff>
    </xdr:from>
    <xdr:to>
      <xdr:col>2</xdr:col>
      <xdr:colOff>1203537</xdr:colOff>
      <xdr:row>516</xdr:row>
      <xdr:rowOff>98853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558C050-38B1-4B14-BE31-EE02DB622396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257544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562</xdr:row>
      <xdr:rowOff>76200</xdr:rowOff>
    </xdr:from>
    <xdr:to>
      <xdr:col>2</xdr:col>
      <xdr:colOff>1239732</xdr:colOff>
      <xdr:row>565</xdr:row>
      <xdr:rowOff>95041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4B8CB23-1D0D-4C07-B3A4-6C6A05C3595E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6874764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608</xdr:row>
      <xdr:rowOff>85725</xdr:rowOff>
    </xdr:from>
    <xdr:to>
      <xdr:col>2</xdr:col>
      <xdr:colOff>1237827</xdr:colOff>
      <xdr:row>611</xdr:row>
      <xdr:rowOff>55038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7591080-1188-4015-96CC-D9693B2935EB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7431214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654</xdr:row>
      <xdr:rowOff>47625</xdr:rowOff>
    </xdr:from>
    <xdr:to>
      <xdr:col>2</xdr:col>
      <xdr:colOff>1277832</xdr:colOff>
      <xdr:row>657</xdr:row>
      <xdr:rowOff>16938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210BC52-921C-4530-A6E8-B9411AB28EC2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79844265"/>
          <a:ext cx="1535430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700</xdr:row>
      <xdr:rowOff>19050</xdr:rowOff>
    </xdr:from>
    <xdr:to>
      <xdr:col>2</xdr:col>
      <xdr:colOff>1203537</xdr:colOff>
      <xdr:row>702</xdr:row>
      <xdr:rowOff>171243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E1116F4-B8EE-42E8-98DD-0400587F37F6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85393530"/>
          <a:ext cx="1535430" cy="5636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749</xdr:row>
      <xdr:rowOff>114300</xdr:rowOff>
    </xdr:from>
    <xdr:to>
      <xdr:col>2</xdr:col>
      <xdr:colOff>1201632</xdr:colOff>
      <xdr:row>752</xdr:row>
      <xdr:rowOff>133143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8D8815D-5F54-4BD5-991C-67A4DDF7BE5B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9164574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795</xdr:row>
      <xdr:rowOff>28575</xdr:rowOff>
    </xdr:from>
    <xdr:to>
      <xdr:col>2</xdr:col>
      <xdr:colOff>1237827</xdr:colOff>
      <xdr:row>798</xdr:row>
      <xdr:rowOff>20749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74B5A55-6508-4AF3-9669-0001B1168C13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9723691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841</xdr:row>
      <xdr:rowOff>104775</xdr:rowOff>
    </xdr:from>
    <xdr:to>
      <xdr:col>2</xdr:col>
      <xdr:colOff>1239732</xdr:colOff>
      <xdr:row>844</xdr:row>
      <xdr:rowOff>96947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98DE74C-DB0D-4D95-A004-3AD61F3A4C05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0292143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887</xdr:row>
      <xdr:rowOff>66675</xdr:rowOff>
    </xdr:from>
    <xdr:to>
      <xdr:col>2</xdr:col>
      <xdr:colOff>1239732</xdr:colOff>
      <xdr:row>890</xdr:row>
      <xdr:rowOff>58848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4BFBD21-01F2-4F15-BC8B-D329B48F91AE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0846117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raisinsa.sharepoint.com/sites/RaisinSA/Shared%20Documents/2026/3.%20Market%20Intelligence%20and%20Access/3.%20MA/1.%20Intelligence/6.%20Weekly%20Intakes/Weekly%20intakes/Week%2016/Weeklikse%20inname%20week%204%20tot%2016.xlsx" TargetMode="External"/><Relationship Id="rId2" Type="http://schemas.microsoft.com/office/2019/04/relationships/externalLinkLongPath" Target="/sites/RaisinSA/Shared%20Documents/2026/3.%20Market%20Intelligence%20and%20Access/3.%20MA/1.%20Intelligence/6.%20Weekly%20Intakes/Weekly%20intakes/Week%2020/Weekly%20intakes/Week%2016/Weeklikse%20inname%20week%204%20tot%2016.xlsx?DDAA580F" TargetMode="External"/><Relationship Id="rId1" Type="http://schemas.openxmlformats.org/officeDocument/2006/relationships/externalLinkPath" Target="file:///\\DDAA580F\Weeklikse%20inname%20week%204%20tot%2016.xlsx" TargetMode="External"/><Relationship Id="rId4" Type="http://schemas.openxmlformats.org/officeDocument/2006/relationships/externalLinkPath" Target="../Week%2020/Weekly%20intakes/Week%2016/Weeklikse%20inname%20week%204%20tot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Total Raisins"/>
      <sheetName val="Thompsons"/>
      <sheetName val="Flame"/>
      <sheetName val="SA Sultana"/>
      <sheetName val="OR Sultana"/>
      <sheetName val="Goldens"/>
      <sheetName val="Currants"/>
      <sheetName val="Other"/>
      <sheetName val=" Specific add product detail"/>
    </sheetNames>
    <sheetDataSet>
      <sheetData sheetId="0" refreshError="1"/>
      <sheetData sheetId="1">
        <row r="12">
          <cell r="E12">
            <v>3178848</v>
          </cell>
        </row>
        <row r="49">
          <cell r="E49">
            <v>2731342</v>
          </cell>
        </row>
        <row r="86">
          <cell r="E86">
            <v>447506</v>
          </cell>
        </row>
        <row r="123">
          <cell r="E123">
            <v>0</v>
          </cell>
        </row>
      </sheetData>
      <sheetData sheetId="2">
        <row r="12">
          <cell r="E12">
            <v>352980</v>
          </cell>
        </row>
        <row r="49">
          <cell r="E49">
            <v>340716</v>
          </cell>
        </row>
        <row r="86">
          <cell r="E86">
            <v>12264</v>
          </cell>
        </row>
        <row r="123">
          <cell r="E123">
            <v>0</v>
          </cell>
        </row>
      </sheetData>
      <sheetData sheetId="3">
        <row r="12">
          <cell r="E12">
            <v>376135</v>
          </cell>
        </row>
        <row r="49">
          <cell r="E49">
            <v>214273</v>
          </cell>
        </row>
        <row r="86">
          <cell r="E86">
            <v>161862</v>
          </cell>
        </row>
        <row r="123">
          <cell r="E123">
            <v>0</v>
          </cell>
        </row>
      </sheetData>
      <sheetData sheetId="4">
        <row r="12">
          <cell r="E12">
            <v>225496</v>
          </cell>
        </row>
        <row r="49">
          <cell r="E49">
            <v>225496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5">
        <row r="12">
          <cell r="E12">
            <v>400197.5</v>
          </cell>
        </row>
        <row r="49">
          <cell r="E49">
            <v>400197.5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6">
        <row r="12">
          <cell r="E12">
            <v>217067</v>
          </cell>
        </row>
        <row r="49">
          <cell r="E49">
            <v>0</v>
          </cell>
        </row>
        <row r="86">
          <cell r="E86">
            <v>217067</v>
          </cell>
        </row>
        <row r="123">
          <cell r="E123">
            <v>0</v>
          </cell>
        </row>
      </sheetData>
      <sheetData sheetId="7">
        <row r="12">
          <cell r="E12">
            <v>110420.5</v>
          </cell>
        </row>
        <row r="49">
          <cell r="E49">
            <v>107820.5</v>
          </cell>
        </row>
        <row r="86">
          <cell r="E86">
            <v>2600</v>
          </cell>
        </row>
        <row r="123">
          <cell r="E123">
            <v>0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203"/>
  <sheetViews>
    <sheetView tabSelected="1" topLeftCell="A23" zoomScale="75" zoomScaleNormal="75" workbookViewId="0">
      <selection activeCell="M39" sqref="M39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7" style="3" customWidth="1"/>
    <col min="4" max="4" width="20.25" style="32" bestFit="1" customWidth="1"/>
    <col min="5" max="5" width="13" style="32" customWidth="1"/>
    <col min="6" max="6" width="14.875" style="32" customWidth="1"/>
    <col min="7" max="7" width="15.25" style="32" customWidth="1"/>
    <col min="8" max="9" width="13" style="32" customWidth="1"/>
    <col min="10" max="10" width="9" style="32"/>
    <col min="11" max="12" width="13" style="32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4"/>
      <c r="C3" s="24"/>
      <c r="D3" s="160" t="s">
        <v>5</v>
      </c>
      <c r="E3" s="161"/>
      <c r="F3" s="161"/>
      <c r="G3" s="161"/>
      <c r="H3" s="161"/>
      <c r="I3" s="161"/>
      <c r="J3" s="45"/>
      <c r="K3" s="45"/>
      <c r="L3" s="45"/>
      <c r="M3" s="1"/>
    </row>
    <row r="4" spans="2:25" ht="15.6" x14ac:dyDescent="0.3">
      <c r="B4" s="132" t="s">
        <v>88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"/>
    </row>
    <row r="5" spans="2:25" x14ac:dyDescent="0.3">
      <c r="B5" s="14"/>
      <c r="C5" s="15"/>
      <c r="D5" s="152" t="s">
        <v>6</v>
      </c>
      <c r="E5" s="153"/>
      <c r="F5" s="153"/>
      <c r="G5" s="154"/>
      <c r="H5" s="143" t="s">
        <v>7</v>
      </c>
      <c r="I5" s="144"/>
      <c r="J5" s="46"/>
      <c r="K5" s="143" t="s">
        <v>8</v>
      </c>
      <c r="L5" s="144"/>
      <c r="M5" s="1"/>
    </row>
    <row r="6" spans="2:25" x14ac:dyDescent="0.3">
      <c r="B6" s="12"/>
      <c r="C6" s="13"/>
      <c r="D6" s="155" t="s">
        <v>9</v>
      </c>
      <c r="E6" s="156"/>
      <c r="F6" s="156"/>
      <c r="G6" s="157"/>
      <c r="H6" s="145"/>
      <c r="I6" s="146"/>
      <c r="J6" s="46"/>
      <c r="K6" s="145"/>
      <c r="L6" s="146"/>
      <c r="M6" s="1"/>
    </row>
    <row r="7" spans="2:25" ht="18.899999999999999" customHeight="1" x14ac:dyDescent="0.3">
      <c r="B7" s="111" t="s">
        <v>10</v>
      </c>
      <c r="C7" s="113" t="s">
        <v>11</v>
      </c>
      <c r="D7" s="44" t="s">
        <v>12</v>
      </c>
      <c r="E7" s="44" t="s">
        <v>13</v>
      </c>
      <c r="F7" s="44" t="s">
        <v>14</v>
      </c>
      <c r="G7" s="44" t="s">
        <v>15</v>
      </c>
      <c r="H7" s="139" t="s">
        <v>16</v>
      </c>
      <c r="I7" s="141" t="s">
        <v>17</v>
      </c>
      <c r="J7" s="47"/>
      <c r="K7" s="139" t="s">
        <v>18</v>
      </c>
      <c r="L7" s="141" t="s">
        <v>19</v>
      </c>
      <c r="M7" s="1"/>
    </row>
    <row r="8" spans="2:25" ht="36" customHeight="1" x14ac:dyDescent="0.3">
      <c r="B8" s="112"/>
      <c r="C8" s="114"/>
      <c r="D8" s="147" t="s">
        <v>20</v>
      </c>
      <c r="E8" s="148"/>
      <c r="F8" s="148"/>
      <c r="G8" s="149"/>
      <c r="H8" s="140"/>
      <c r="I8" s="142"/>
      <c r="J8" s="47"/>
      <c r="K8" s="140"/>
      <c r="L8" s="142"/>
      <c r="M8" s="1"/>
    </row>
    <row r="9" spans="2:25" x14ac:dyDescent="0.3">
      <c r="B9" s="33">
        <v>4</v>
      </c>
      <c r="C9" s="31" t="s">
        <v>21</v>
      </c>
      <c r="D9" s="18">
        <v>1795192.45</v>
      </c>
      <c r="E9" s="18">
        <v>0</v>
      </c>
      <c r="F9" s="36">
        <f>+D9+E9</f>
        <v>1795192.45</v>
      </c>
      <c r="G9" s="18">
        <f>+F9</f>
        <v>1795192.45</v>
      </c>
      <c r="H9" s="37">
        <f t="shared" ref="H9:H30" si="0">((G9-I9)/I9)*100</f>
        <v>155.94298999897705</v>
      </c>
      <c r="I9" s="18">
        <v>701403.25</v>
      </c>
      <c r="J9" s="38"/>
      <c r="K9" s="39">
        <f t="shared" ref="K9:K30" si="1">((G9-L9)/L9)*100</f>
        <v>-36.09110682508981</v>
      </c>
      <c r="L9" s="20">
        <f>+(701403.25+2705521.5+5020036.01)/3</f>
        <v>2808986.92</v>
      </c>
      <c r="M9" s="1"/>
      <c r="Y9" s="30"/>
    </row>
    <row r="10" spans="2:25" x14ac:dyDescent="0.3">
      <c r="B10" s="33">
        <v>5</v>
      </c>
      <c r="C10" s="31" t="s">
        <v>22</v>
      </c>
      <c r="D10" s="23">
        <v>6433422.9199999999</v>
      </c>
      <c r="E10" s="23">
        <v>0</v>
      </c>
      <c r="F10" s="40">
        <f>+E10+D10</f>
        <v>6433422.9199999999</v>
      </c>
      <c r="G10" s="23">
        <f>+G9+F10</f>
        <v>8228615.3700000001</v>
      </c>
      <c r="H10" s="41">
        <f t="shared" si="0"/>
        <v>42.070335862514163</v>
      </c>
      <c r="I10" s="23">
        <f>701403.25+5090527.43</f>
        <v>5791930.6799999997</v>
      </c>
      <c r="J10" s="38"/>
      <c r="K10" s="41">
        <f t="shared" si="1"/>
        <v>-8.394561661671462</v>
      </c>
      <c r="L10" s="23">
        <f>+(701403.25+2705521.5+5020036.01+5090527.43+6060755.3+7369770.25)/3</f>
        <v>8982671.2466666661</v>
      </c>
      <c r="M10" s="1"/>
    </row>
    <row r="11" spans="2:25" x14ac:dyDescent="0.3">
      <c r="B11" s="33">
        <v>6</v>
      </c>
      <c r="C11" s="31" t="s">
        <v>23</v>
      </c>
      <c r="D11" s="23">
        <v>9568155.3900000006</v>
      </c>
      <c r="E11" s="23">
        <v>0</v>
      </c>
      <c r="F11" s="40">
        <f>+E11+D11</f>
        <v>9568155.3900000006</v>
      </c>
      <c r="G11" s="23">
        <f t="shared" ref="G11:G22" si="2">+G10+F11</f>
        <v>17796770.760000002</v>
      </c>
      <c r="H11" s="41">
        <f t="shared" si="0"/>
        <v>71.120999985967458</v>
      </c>
      <c r="I11" s="23">
        <f>+I10+4608178.46</f>
        <v>10400109.140000001</v>
      </c>
      <c r="J11" s="38"/>
      <c r="K11" s="41">
        <f t="shared" si="1"/>
        <v>21.915601960924654</v>
      </c>
      <c r="L11" s="23">
        <v>14597615.460000001</v>
      </c>
      <c r="M11" s="34"/>
      <c r="O11" s="30"/>
      <c r="P11" s="30"/>
    </row>
    <row r="12" spans="2:25" x14ac:dyDescent="0.3">
      <c r="B12" s="33">
        <v>7</v>
      </c>
      <c r="C12" s="31" t="s">
        <v>24</v>
      </c>
      <c r="D12" s="23">
        <v>4340829.42</v>
      </c>
      <c r="E12" s="23">
        <f>+[1]Thompsons!E12+[1]Flame!E12+'[1]SA Sultana'!E12+'[1]OR Sultana'!E12+[1]Goldens!E12+[1]Currants!E12+[1]Other!E12</f>
        <v>4861144</v>
      </c>
      <c r="F12" s="40">
        <f t="shared" ref="F12:F24" si="3">+E12+D12</f>
        <v>9201973.4199999999</v>
      </c>
      <c r="G12" s="23">
        <f>+G11+F12</f>
        <v>26998744.18</v>
      </c>
      <c r="H12" s="41">
        <f t="shared" si="0"/>
        <v>52.153390722566151</v>
      </c>
      <c r="I12" s="23">
        <f>+I11+7344315.78</f>
        <v>17744424.920000002</v>
      </c>
      <c r="J12" s="38"/>
      <c r="K12" s="41">
        <f t="shared" si="1"/>
        <v>21.738671963785709</v>
      </c>
      <c r="L12" s="23">
        <f>66532870.15/3</f>
        <v>22177623.383333333</v>
      </c>
      <c r="M12" s="34"/>
      <c r="N12" s="32"/>
    </row>
    <row r="13" spans="2:25" x14ac:dyDescent="0.3">
      <c r="B13" s="33">
        <v>8</v>
      </c>
      <c r="C13" s="31" t="s">
        <v>25</v>
      </c>
      <c r="D13" s="23">
        <v>8409847.0700000003</v>
      </c>
      <c r="E13" s="23">
        <v>0</v>
      </c>
      <c r="F13" s="40">
        <f t="shared" si="3"/>
        <v>8409847.0700000003</v>
      </c>
      <c r="G13" s="23">
        <f t="shared" ref="G13" si="4">+G12+F13</f>
        <v>35408591.25</v>
      </c>
      <c r="H13" s="41">
        <f t="shared" si="0"/>
        <v>32.938579511486765</v>
      </c>
      <c r="I13" s="23">
        <v>26635301.34</v>
      </c>
      <c r="J13" s="38"/>
      <c r="K13" s="41">
        <f t="shared" si="1"/>
        <v>14.048078642294223</v>
      </c>
      <c r="L13" s="23">
        <f>93141221.68/3</f>
        <v>31047073.893333334</v>
      </c>
      <c r="M13" s="1"/>
    </row>
    <row r="14" spans="2:25" x14ac:dyDescent="0.3">
      <c r="B14" s="33">
        <v>9</v>
      </c>
      <c r="C14" s="31" t="s">
        <v>26</v>
      </c>
      <c r="D14" s="23">
        <v>6650673.9299999997</v>
      </c>
      <c r="E14" s="23">
        <v>0</v>
      </c>
      <c r="F14" s="40">
        <f t="shared" si="3"/>
        <v>6650673.9299999997</v>
      </c>
      <c r="G14" s="41">
        <f t="shared" si="2"/>
        <v>42059265.18</v>
      </c>
      <c r="H14" s="41">
        <f t="shared" si="0"/>
        <v>18.765085294794883</v>
      </c>
      <c r="I14" s="23">
        <v>35413829.810000002</v>
      </c>
      <c r="J14" s="38"/>
      <c r="K14" s="41">
        <f t="shared" si="1"/>
        <v>2.8597307542412906</v>
      </c>
      <c r="L14" s="23">
        <f>122669770.39/3</f>
        <v>40889923.463333331</v>
      </c>
      <c r="M14" s="1"/>
    </row>
    <row r="15" spans="2:25" x14ac:dyDescent="0.3">
      <c r="B15" s="33">
        <v>10</v>
      </c>
      <c r="C15" s="31" t="s">
        <v>55</v>
      </c>
      <c r="D15" s="23">
        <v>13010335.75</v>
      </c>
      <c r="E15" s="23">
        <f>106192+2190</f>
        <v>108382</v>
      </c>
      <c r="F15" s="40">
        <f>+E15+D15</f>
        <v>13118717.75</v>
      </c>
      <c r="G15" s="23">
        <f>+G14+F15</f>
        <v>55177982.93</v>
      </c>
      <c r="H15" s="41">
        <f t="shared" si="0"/>
        <v>14.307636853920568</v>
      </c>
      <c r="I15" s="23">
        <v>48271475.509999998</v>
      </c>
      <c r="J15" s="38"/>
      <c r="K15" s="41">
        <f t="shared" si="1"/>
        <v>6.6936348676421096</v>
      </c>
      <c r="L15" s="23">
        <v>51716283.729999997</v>
      </c>
      <c r="M15" s="1"/>
    </row>
    <row r="16" spans="2:25" x14ac:dyDescent="0.3">
      <c r="B16" s="33">
        <v>11</v>
      </c>
      <c r="C16" s="31" t="s">
        <v>56</v>
      </c>
      <c r="D16" s="23">
        <v>11665782.33</v>
      </c>
      <c r="E16" s="23">
        <v>0</v>
      </c>
      <c r="F16" s="40">
        <f t="shared" si="3"/>
        <v>11665782.33</v>
      </c>
      <c r="G16" s="23">
        <f>+G15+F16</f>
        <v>66843765.259999998</v>
      </c>
      <c r="H16" s="41">
        <f t="shared" si="0"/>
        <v>16.045292834067229</v>
      </c>
      <c r="I16" s="23">
        <f>+I15+9329969.26</f>
        <v>57601444.769999996</v>
      </c>
      <c r="J16" s="38"/>
      <c r="K16" s="41">
        <f t="shared" si="1"/>
        <v>11.429312162185775</v>
      </c>
      <c r="L16" s="23">
        <v>59987595.689999998</v>
      </c>
      <c r="M16" s="1"/>
    </row>
    <row r="17" spans="2:16" x14ac:dyDescent="0.3">
      <c r="B17" s="33">
        <v>12</v>
      </c>
      <c r="C17" s="31" t="s">
        <v>71</v>
      </c>
      <c r="D17" s="23">
        <v>11486068.300000001</v>
      </c>
      <c r="E17" s="23">
        <v>0</v>
      </c>
      <c r="F17" s="40">
        <f t="shared" si="3"/>
        <v>11486068.300000001</v>
      </c>
      <c r="G17" s="23">
        <f t="shared" si="2"/>
        <v>78329833.560000002</v>
      </c>
      <c r="H17" s="41">
        <f t="shared" si="0"/>
        <v>17.286873437121862</v>
      </c>
      <c r="I17" s="23">
        <v>66784825.329999998</v>
      </c>
      <c r="J17" s="38"/>
      <c r="K17" s="41">
        <f t="shared" si="1"/>
        <v>18.001565601037051</v>
      </c>
      <c r="L17" s="23">
        <v>66380334.159999996</v>
      </c>
      <c r="M17" s="1"/>
    </row>
    <row r="18" spans="2:16" x14ac:dyDescent="0.3">
      <c r="B18" s="33">
        <v>13</v>
      </c>
      <c r="C18" s="31" t="s">
        <v>57</v>
      </c>
      <c r="D18" s="23">
        <v>6744613.4299999997</v>
      </c>
      <c r="E18" s="23">
        <v>0</v>
      </c>
      <c r="F18" s="40">
        <f t="shared" si="3"/>
        <v>6744613.4299999997</v>
      </c>
      <c r="G18" s="23">
        <f t="shared" si="2"/>
        <v>85074446.99000001</v>
      </c>
      <c r="H18" s="41">
        <f>((G18-I18)/I18)*100</f>
        <v>16.532006559409378</v>
      </c>
      <c r="I18" s="23">
        <v>73005219.340000004</v>
      </c>
      <c r="J18" s="38"/>
      <c r="K18" s="41">
        <f t="shared" si="1"/>
        <v>20.12953159281933</v>
      </c>
      <c r="L18" s="23">
        <v>70818928.420000002</v>
      </c>
      <c r="M18" s="1"/>
    </row>
    <row r="19" spans="2:16" x14ac:dyDescent="0.3">
      <c r="B19" s="33">
        <v>14</v>
      </c>
      <c r="C19" s="49" t="s">
        <v>58</v>
      </c>
      <c r="D19" s="23">
        <v>1858001.64</v>
      </c>
      <c r="E19" s="23">
        <v>274690.5</v>
      </c>
      <c r="F19" s="40">
        <f t="shared" si="3"/>
        <v>2132692.1399999997</v>
      </c>
      <c r="G19" s="23">
        <f t="shared" si="2"/>
        <v>87207139.13000001</v>
      </c>
      <c r="H19" s="41">
        <f t="shared" si="0"/>
        <v>9.1412466234797485</v>
      </c>
      <c r="I19" s="23">
        <f>+I18+6897788.76</f>
        <v>79903008.100000009</v>
      </c>
      <c r="J19" s="38"/>
      <c r="K19" s="41">
        <f t="shared" si="1"/>
        <v>17.56141457369608</v>
      </c>
      <c r="L19" s="23">
        <v>74180069.579999998</v>
      </c>
      <c r="M19" s="1"/>
      <c r="N19" s="32"/>
    </row>
    <row r="20" spans="2:16" x14ac:dyDescent="0.3">
      <c r="B20" s="33">
        <v>15</v>
      </c>
      <c r="C20" s="31" t="s">
        <v>59</v>
      </c>
      <c r="D20" s="23">
        <v>2564260.59</v>
      </c>
      <c r="E20" s="23">
        <v>0</v>
      </c>
      <c r="F20" s="40">
        <f t="shared" si="3"/>
        <v>2564260.59</v>
      </c>
      <c r="G20" s="23">
        <f t="shared" si="2"/>
        <v>89771399.720000014</v>
      </c>
      <c r="H20" s="41">
        <f t="shared" si="0"/>
        <v>6.8042532257403572</v>
      </c>
      <c r="I20" s="23">
        <f>+I19+4149262.3</f>
        <v>84052270.400000006</v>
      </c>
      <c r="J20" s="38"/>
      <c r="K20" s="41">
        <f t="shared" si="1"/>
        <v>16.871807113348538</v>
      </c>
      <c r="L20" s="23">
        <v>76811852.180000007</v>
      </c>
      <c r="M20" s="1"/>
      <c r="N20" s="32"/>
    </row>
    <row r="21" spans="2:16" x14ac:dyDescent="0.3">
      <c r="B21" s="33">
        <v>16</v>
      </c>
      <c r="C21" s="31" t="s">
        <v>60</v>
      </c>
      <c r="D21" s="23">
        <v>3255071.4</v>
      </c>
      <c r="E21" s="23">
        <v>35132</v>
      </c>
      <c r="F21" s="40">
        <f t="shared" si="3"/>
        <v>3290203.4</v>
      </c>
      <c r="G21" s="23">
        <f t="shared" si="2"/>
        <v>93061603.12000002</v>
      </c>
      <c r="H21" s="41">
        <f t="shared" si="0"/>
        <v>5.2293270875892528</v>
      </c>
      <c r="I21" s="23">
        <f>+I20+4384675.55</f>
        <v>88436945.950000003</v>
      </c>
      <c r="J21" s="38"/>
      <c r="K21" s="41">
        <f t="shared" si="1"/>
        <v>17.787381503258729</v>
      </c>
      <c r="L21" s="23">
        <v>79008126.280000001</v>
      </c>
      <c r="M21" s="1"/>
      <c r="N21" s="32"/>
      <c r="P21" s="32"/>
    </row>
    <row r="22" spans="2:16" x14ac:dyDescent="0.3">
      <c r="B22" s="33">
        <v>17</v>
      </c>
      <c r="C22" s="31" t="s">
        <v>61</v>
      </c>
      <c r="D22" s="23">
        <v>1223172.6100000001</v>
      </c>
      <c r="E22" s="23">
        <v>254307</v>
      </c>
      <c r="F22" s="40">
        <f t="shared" si="3"/>
        <v>1477479.61</v>
      </c>
      <c r="G22" s="23">
        <f t="shared" si="2"/>
        <v>94539082.730000019</v>
      </c>
      <c r="H22" s="41">
        <f t="shared" si="0"/>
        <v>3.4871118896962296</v>
      </c>
      <c r="I22" s="23">
        <f>+I21+2916538.56</f>
        <v>91353484.510000005</v>
      </c>
      <c r="J22" s="38"/>
      <c r="K22" s="41">
        <f t="shared" si="1"/>
        <v>17.306963661086641</v>
      </c>
      <c r="L22" s="23">
        <v>80591194.060000002</v>
      </c>
      <c r="M22" s="1"/>
    </row>
    <row r="23" spans="2:16" x14ac:dyDescent="0.3">
      <c r="B23" s="33">
        <v>18</v>
      </c>
      <c r="C23" s="31" t="s">
        <v>62</v>
      </c>
      <c r="D23" s="23">
        <v>730080.04</v>
      </c>
      <c r="E23" s="23">
        <v>0</v>
      </c>
      <c r="F23" s="40">
        <f t="shared" si="3"/>
        <v>730080.04</v>
      </c>
      <c r="G23" s="23">
        <f>+G22+F23</f>
        <v>95269162.770000026</v>
      </c>
      <c r="H23" s="41">
        <f t="shared" si="0"/>
        <v>-0.27933629979515062</v>
      </c>
      <c r="I23" s="23">
        <f>+I22+4182545.07</f>
        <v>95536029.579999998</v>
      </c>
      <c r="J23" s="38"/>
      <c r="K23" s="41">
        <f t="shared" si="1"/>
        <v>15.936155227770572</v>
      </c>
      <c r="L23" s="23">
        <v>82173815.909999996</v>
      </c>
      <c r="M23" s="1"/>
    </row>
    <row r="24" spans="2:16" x14ac:dyDescent="0.3">
      <c r="B24" s="33">
        <v>19</v>
      </c>
      <c r="C24" s="31" t="s">
        <v>63</v>
      </c>
      <c r="D24" s="23">
        <v>1182002</v>
      </c>
      <c r="E24" s="23">
        <v>0</v>
      </c>
      <c r="F24" s="40">
        <f t="shared" si="3"/>
        <v>1182002</v>
      </c>
      <c r="G24" s="23">
        <f t="shared" ref="G24" si="5">+G23+F24</f>
        <v>96451164.770000026</v>
      </c>
      <c r="H24" s="41">
        <f t="shared" si="0"/>
        <v>-0.99182268674855556</v>
      </c>
      <c r="I24" s="23">
        <f>+I23+1881342.79</f>
        <v>97417372.370000005</v>
      </c>
      <c r="J24" s="38"/>
      <c r="K24" s="41">
        <f t="shared" si="1"/>
        <v>16.263401669788635</v>
      </c>
      <c r="L24" s="23">
        <v>82959180.090000004</v>
      </c>
      <c r="M24" s="1"/>
    </row>
    <row r="25" spans="2:16" x14ac:dyDescent="0.3">
      <c r="B25" s="33">
        <v>20</v>
      </c>
      <c r="C25" s="31" t="s">
        <v>64</v>
      </c>
      <c r="D25" s="23">
        <v>188523.5</v>
      </c>
      <c r="E25" s="23">
        <v>0</v>
      </c>
      <c r="F25" s="40">
        <f t="shared" ref="F25:F31" si="6">+E25+D25</f>
        <v>188523.5</v>
      </c>
      <c r="G25" s="23">
        <f>+G24+F25</f>
        <v>96639688.270000026</v>
      </c>
      <c r="H25" s="41">
        <f t="shared" si="0"/>
        <v>-2.3999740296642615</v>
      </c>
      <c r="I25" s="23">
        <f>+I24+1598675.33</f>
        <v>99016047.700000003</v>
      </c>
      <c r="J25" s="38"/>
      <c r="K25" s="41">
        <f t="shared" si="1"/>
        <v>15.163986094871021</v>
      </c>
      <c r="L25" s="23">
        <v>83914851.810000002</v>
      </c>
      <c r="M25" s="1"/>
      <c r="N25" s="32"/>
      <c r="O25" s="32"/>
    </row>
    <row r="26" spans="2:16" x14ac:dyDescent="0.3">
      <c r="B26" s="33">
        <v>21</v>
      </c>
      <c r="C26" s="31" t="s">
        <v>65</v>
      </c>
      <c r="D26" s="23">
        <v>472538.25</v>
      </c>
      <c r="E26" s="23">
        <v>0</v>
      </c>
      <c r="F26" s="40">
        <f t="shared" si="6"/>
        <v>472538.25</v>
      </c>
      <c r="G26" s="23">
        <f t="shared" ref="G26:G31" si="7">+G25+F26</f>
        <v>97112226.520000026</v>
      </c>
      <c r="H26" s="41">
        <f t="shared" si="0"/>
        <v>-2.9332591877048029</v>
      </c>
      <c r="I26" s="23">
        <f>+I25+1030812.54</f>
        <v>100046860.24000001</v>
      </c>
      <c r="J26" s="38"/>
      <c r="K26" s="41">
        <f t="shared" si="1"/>
        <v>14.845971282871403</v>
      </c>
      <c r="L26" s="23">
        <v>84558670.569999993</v>
      </c>
      <c r="M26" s="34"/>
      <c r="N26" s="32"/>
    </row>
    <row r="27" spans="2:16" x14ac:dyDescent="0.3">
      <c r="B27" s="33">
        <v>22</v>
      </c>
      <c r="C27" s="31" t="s">
        <v>75</v>
      </c>
      <c r="D27" s="23">
        <v>879297.51</v>
      </c>
      <c r="E27" s="23">
        <v>0</v>
      </c>
      <c r="F27" s="40">
        <f t="shared" si="6"/>
        <v>879297.51</v>
      </c>
      <c r="G27" s="23">
        <f t="shared" si="7"/>
        <v>97991524.030000031</v>
      </c>
      <c r="H27" s="41">
        <f t="shared" si="0"/>
        <v>-2.4299721676977217</v>
      </c>
      <c r="I27" s="23">
        <f>+I26+385133.28</f>
        <v>100431993.52000001</v>
      </c>
      <c r="J27" s="38"/>
      <c r="K27" s="41">
        <f t="shared" si="1"/>
        <v>15.585166297187053</v>
      </c>
      <c r="L27" s="23">
        <v>84778633.079999998</v>
      </c>
      <c r="M27" s="34"/>
      <c r="N27" s="32"/>
      <c r="O27" s="32"/>
    </row>
    <row r="28" spans="2:16" x14ac:dyDescent="0.3">
      <c r="B28" s="33">
        <v>23</v>
      </c>
      <c r="C28" s="31" t="s">
        <v>76</v>
      </c>
      <c r="D28" s="23">
        <v>918751.99</v>
      </c>
      <c r="E28" s="23">
        <f>+Thompsons!E28</f>
        <v>-64311</v>
      </c>
      <c r="F28" s="40">
        <f t="shared" si="6"/>
        <v>854440.99</v>
      </c>
      <c r="G28" s="23">
        <f t="shared" si="7"/>
        <v>98845965.020000026</v>
      </c>
      <c r="H28" s="41">
        <f t="shared" si="0"/>
        <v>-1.6890838339612362</v>
      </c>
      <c r="I28" s="23">
        <f>+I27+112248.03</f>
        <v>100544241.55000001</v>
      </c>
      <c r="J28" s="38"/>
      <c r="K28" s="41">
        <f t="shared" si="1"/>
        <v>16.530549887700179</v>
      </c>
      <c r="L28" s="23">
        <v>84824078.420000002</v>
      </c>
      <c r="M28" s="1"/>
      <c r="N28" s="32"/>
      <c r="O28" s="32"/>
    </row>
    <row r="29" spans="2:16" x14ac:dyDescent="0.3">
      <c r="B29" s="33">
        <v>24</v>
      </c>
      <c r="C29" s="31" t="s">
        <v>68</v>
      </c>
      <c r="D29" s="23">
        <v>260755.3</v>
      </c>
      <c r="E29" s="23">
        <v>0</v>
      </c>
      <c r="F29" s="40">
        <f t="shared" si="6"/>
        <v>260755.3</v>
      </c>
      <c r="G29" s="23">
        <f t="shared" si="7"/>
        <v>99106720.320000023</v>
      </c>
      <c r="H29" s="41">
        <f t="shared" si="0"/>
        <v>-1.7551180814775451</v>
      </c>
      <c r="I29" s="23">
        <f>+I28+332993.36</f>
        <v>100877234.91000001</v>
      </c>
      <c r="J29" s="38"/>
      <c r="K29" s="41">
        <f t="shared" si="1"/>
        <v>15.440138295465172</v>
      </c>
      <c r="L29" s="23">
        <v>85851179.480000004</v>
      </c>
      <c r="M29" s="1"/>
      <c r="N29" s="32"/>
      <c r="O29" s="32"/>
      <c r="P29" s="32"/>
    </row>
    <row r="30" spans="2:16" x14ac:dyDescent="0.3">
      <c r="B30" s="33">
        <v>25</v>
      </c>
      <c r="C30" s="67" t="s">
        <v>69</v>
      </c>
      <c r="D30" s="23">
        <v>374038.2</v>
      </c>
      <c r="E30" s="23">
        <v>0</v>
      </c>
      <c r="F30" s="40">
        <f t="shared" si="6"/>
        <v>374038.2</v>
      </c>
      <c r="G30" s="23">
        <f t="shared" si="7"/>
        <v>99480758.520000026</v>
      </c>
      <c r="H30" s="41">
        <f t="shared" si="0"/>
        <v>-1.3843325416739316</v>
      </c>
      <c r="I30" s="23">
        <f>+I29+0</f>
        <v>100877234.91000001</v>
      </c>
      <c r="J30" s="38"/>
      <c r="K30" s="41">
        <f t="shared" si="1"/>
        <v>15.87582037026665</v>
      </c>
      <c r="L30" s="23">
        <f>+L29+0</f>
        <v>85851179.480000004</v>
      </c>
      <c r="M30" s="34"/>
    </row>
    <row r="31" spans="2:16" x14ac:dyDescent="0.3">
      <c r="B31" s="33">
        <v>26</v>
      </c>
      <c r="C31" s="67" t="s">
        <v>70</v>
      </c>
      <c r="D31" s="23">
        <v>68990.8</v>
      </c>
      <c r="E31" s="23">
        <v>37775</v>
      </c>
      <c r="F31" s="40">
        <f t="shared" si="6"/>
        <v>106765.8</v>
      </c>
      <c r="G31" s="23">
        <f t="shared" si="7"/>
        <v>99587524.320000023</v>
      </c>
      <c r="H31" s="41">
        <f t="shared" ref="H31" si="8">((G31-I31)/I31)*100</f>
        <v>-1.2784951839239391</v>
      </c>
      <c r="I31" s="23">
        <f>+I30+0</f>
        <v>100877234.91000001</v>
      </c>
      <c r="J31" s="38"/>
      <c r="K31" s="41">
        <f t="shared" ref="K31" si="9">((G31-L31)/L31)*100</f>
        <v>16.000181853296557</v>
      </c>
      <c r="L31" s="23">
        <f>+L30+0</f>
        <v>85851179.480000004</v>
      </c>
      <c r="M31" s="1"/>
      <c r="N31" s="32"/>
      <c r="O31" s="32"/>
    </row>
    <row r="32" spans="2:16" x14ac:dyDescent="0.3">
      <c r="B32" s="33">
        <v>27</v>
      </c>
      <c r="C32" s="67" t="s">
        <v>79</v>
      </c>
      <c r="D32" s="23">
        <v>67033.5</v>
      </c>
      <c r="E32" s="23">
        <v>0</v>
      </c>
      <c r="F32" s="40">
        <f t="shared" ref="F32" si="10">+E32+D32</f>
        <v>67033.5</v>
      </c>
      <c r="G32" s="23">
        <f t="shared" ref="G32" si="11">+G31+F32</f>
        <v>99654557.820000023</v>
      </c>
      <c r="H32" s="41">
        <f t="shared" ref="H32" si="12">((G32-I32)/I32)*100</f>
        <v>-1.2120446115427614</v>
      </c>
      <c r="I32" s="23">
        <f>+I31+0</f>
        <v>100877234.91000001</v>
      </c>
      <c r="J32" s="38"/>
      <c r="K32" s="41">
        <f t="shared" ref="K32" si="13">((G32-L32)/L32)*100</f>
        <v>16.078262900529712</v>
      </c>
      <c r="L32" s="23">
        <f>+L31+0</f>
        <v>85851179.480000004</v>
      </c>
      <c r="M32" s="1"/>
      <c r="N32" s="32"/>
      <c r="O32" s="32"/>
    </row>
    <row r="33" spans="2:17" x14ac:dyDescent="0.3">
      <c r="B33" s="33">
        <v>28</v>
      </c>
      <c r="C33" s="67" t="s">
        <v>80</v>
      </c>
      <c r="D33" s="23">
        <v>104027</v>
      </c>
      <c r="E33" s="23">
        <v>896958</v>
      </c>
      <c r="F33" s="40">
        <f t="shared" ref="F33" si="14">+E33+D33</f>
        <v>1000985</v>
      </c>
      <c r="G33" s="23">
        <f t="shared" ref="G33" si="15">+G32+F33</f>
        <v>100655542.82000002</v>
      </c>
      <c r="H33" s="41">
        <f t="shared" ref="H33" si="16">((G33-I33)/I33)*100</f>
        <v>-0.21976424135512485</v>
      </c>
      <c r="I33" s="23">
        <f>+I32+0</f>
        <v>100877234.91000001</v>
      </c>
      <c r="J33" s="38"/>
      <c r="K33" s="41">
        <f t="shared" ref="K33" si="17">((G33-L33)/L33)*100</f>
        <v>17.244216596289004</v>
      </c>
      <c r="L33" s="23">
        <f>+L32+0</f>
        <v>85851179.480000004</v>
      </c>
      <c r="M33" s="1"/>
      <c r="N33" s="32"/>
      <c r="O33" s="32"/>
    </row>
    <row r="34" spans="2:17" x14ac:dyDescent="0.3">
      <c r="B34" s="33">
        <v>29</v>
      </c>
      <c r="C34" s="67" t="s">
        <v>81</v>
      </c>
      <c r="D34" s="23">
        <v>11761</v>
      </c>
      <c r="E34" s="23">
        <v>0</v>
      </c>
      <c r="F34" s="40">
        <f t="shared" ref="F34:F37" si="18">+E34+D34</f>
        <v>11761</v>
      </c>
      <c r="G34" s="23">
        <f t="shared" ref="G34:G37" si="19">+G33+F34</f>
        <v>100667303.82000002</v>
      </c>
      <c r="H34" s="41">
        <f t="shared" ref="H34:H37" si="20">((G34-I34)/I34)*100</f>
        <v>-0.20810551576605327</v>
      </c>
      <c r="I34" s="23">
        <f t="shared" ref="I34:I40" si="21">+I33+0</f>
        <v>100877234.91000001</v>
      </c>
      <c r="J34" s="38"/>
      <c r="K34" s="41">
        <f t="shared" ref="K34:K37" si="22">((G34-L34)/L34)*100</f>
        <v>17.257915883906524</v>
      </c>
      <c r="L34" s="23">
        <f t="shared" ref="L34:L40" si="23">+L33+0</f>
        <v>85851179.480000004</v>
      </c>
      <c r="M34" s="1"/>
      <c r="N34" s="32"/>
      <c r="O34" s="32"/>
    </row>
    <row r="35" spans="2:17" x14ac:dyDescent="0.3">
      <c r="B35" s="33">
        <v>30</v>
      </c>
      <c r="C35" s="67" t="s">
        <v>82</v>
      </c>
      <c r="D35" s="23">
        <v>162501</v>
      </c>
      <c r="E35" s="23">
        <v>0</v>
      </c>
      <c r="F35" s="40">
        <f t="shared" si="18"/>
        <v>162501</v>
      </c>
      <c r="G35" s="23">
        <f t="shared" si="19"/>
        <v>100829804.82000002</v>
      </c>
      <c r="H35" s="41">
        <f t="shared" si="20"/>
        <v>-4.7017634892852232E-2</v>
      </c>
      <c r="I35" s="23">
        <f t="shared" si="21"/>
        <v>100877234.91000001</v>
      </c>
      <c r="J35" s="38"/>
      <c r="K35" s="41">
        <f t="shared" si="22"/>
        <v>17.447198082455532</v>
      </c>
      <c r="L35" s="23">
        <f t="shared" si="23"/>
        <v>85851179.480000004</v>
      </c>
      <c r="M35" s="1"/>
      <c r="N35" s="32"/>
      <c r="O35" s="32"/>
    </row>
    <row r="36" spans="2:17" x14ac:dyDescent="0.3">
      <c r="B36" s="33">
        <v>31</v>
      </c>
      <c r="C36" s="67" t="s">
        <v>83</v>
      </c>
      <c r="D36" s="23">
        <v>53364</v>
      </c>
      <c r="E36" s="23">
        <v>0</v>
      </c>
      <c r="F36" s="40">
        <f t="shared" si="18"/>
        <v>53364</v>
      </c>
      <c r="G36" s="23">
        <f t="shared" si="19"/>
        <v>100883168.82000002</v>
      </c>
      <c r="H36" s="41">
        <f t="shared" si="20"/>
        <v>5.8823083377586641E-3</v>
      </c>
      <c r="I36" s="23">
        <f t="shared" si="21"/>
        <v>100877234.91000001</v>
      </c>
      <c r="J36" s="38"/>
      <c r="K36" s="41">
        <f t="shared" si="22"/>
        <v>17.509356809130256</v>
      </c>
      <c r="L36" s="23">
        <f t="shared" si="23"/>
        <v>85851179.480000004</v>
      </c>
      <c r="M36" s="1"/>
      <c r="N36" s="32"/>
      <c r="O36" s="32"/>
    </row>
    <row r="37" spans="2:17" x14ac:dyDescent="0.3">
      <c r="B37" s="33">
        <v>32</v>
      </c>
      <c r="C37" s="67" t="s">
        <v>84</v>
      </c>
      <c r="D37" s="23">
        <v>20850</v>
      </c>
      <c r="E37" s="23">
        <v>0</v>
      </c>
      <c r="F37" s="40">
        <f t="shared" si="18"/>
        <v>20850</v>
      </c>
      <c r="G37" s="23">
        <f t="shared" si="19"/>
        <v>100904018.82000002</v>
      </c>
      <c r="H37" s="41">
        <f t="shared" si="20"/>
        <v>2.6550995399415155E-2</v>
      </c>
      <c r="I37" s="23">
        <f t="shared" si="21"/>
        <v>100877234.91000001</v>
      </c>
      <c r="J37" s="38"/>
      <c r="K37" s="41">
        <f t="shared" si="22"/>
        <v>17.533643021767389</v>
      </c>
      <c r="L37" s="23">
        <f t="shared" si="23"/>
        <v>85851179.480000004</v>
      </c>
      <c r="M37" s="1"/>
      <c r="N37" s="32"/>
      <c r="O37" s="32"/>
    </row>
    <row r="38" spans="2:17" x14ac:dyDescent="0.3">
      <c r="B38" s="33">
        <v>33</v>
      </c>
      <c r="C38" s="67" t="s">
        <v>85</v>
      </c>
      <c r="D38" s="23">
        <f>+F38-E38</f>
        <v>54907</v>
      </c>
      <c r="E38" s="23">
        <f>0.5+3862+415.5+32871-7299+6268+33510-14392+2414-21110</f>
        <v>36540</v>
      </c>
      <c r="F38" s="40">
        <v>91447</v>
      </c>
      <c r="G38" s="23">
        <f>+G37+F38</f>
        <v>100995465.82000002</v>
      </c>
      <c r="H38" s="41">
        <f t="shared" ref="H38" si="24">((G38-I38)/I38)*100</f>
        <v>0.11720276641751115</v>
      </c>
      <c r="I38" s="23">
        <f t="shared" si="21"/>
        <v>100877234.91000001</v>
      </c>
      <c r="J38" s="38"/>
      <c r="K38" s="41">
        <f t="shared" ref="K38" si="25">((G38-L38)/L38)*100</f>
        <v>17.64016106910686</v>
      </c>
      <c r="L38" s="23">
        <f t="shared" si="23"/>
        <v>85851179.480000004</v>
      </c>
      <c r="M38" s="1"/>
      <c r="N38" s="32"/>
      <c r="O38" s="32"/>
      <c r="P38" s="32"/>
      <c r="Q38" s="32"/>
    </row>
    <row r="39" spans="2:17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100995465.82000002</v>
      </c>
      <c r="H39" s="41">
        <f t="shared" ref="H39" si="26">((G39-I39)/I39)*100</f>
        <v>0.11720276641751115</v>
      </c>
      <c r="I39" s="23">
        <f t="shared" si="21"/>
        <v>100877234.91000001</v>
      </c>
      <c r="J39" s="38"/>
      <c r="K39" s="41">
        <f t="shared" ref="K39" si="27">((G39-L39)/L39)*100</f>
        <v>17.64016106910686</v>
      </c>
      <c r="L39" s="23">
        <f t="shared" si="23"/>
        <v>85851179.480000004</v>
      </c>
      <c r="M39" s="1"/>
      <c r="N39" s="32"/>
      <c r="O39" s="32"/>
    </row>
    <row r="40" spans="2:17" x14ac:dyDescent="0.3">
      <c r="B40" s="33">
        <v>35</v>
      </c>
      <c r="C40" s="67" t="s">
        <v>86</v>
      </c>
      <c r="D40" s="23">
        <v>91647.5</v>
      </c>
      <c r="E40" s="23">
        <v>-41</v>
      </c>
      <c r="F40" s="40">
        <f>+E40+D40</f>
        <v>91606.5</v>
      </c>
      <c r="G40" s="42">
        <f>+G39+F40</f>
        <v>101087072.32000002</v>
      </c>
      <c r="H40" s="41">
        <f t="shared" ref="H40" si="28">((G40-I40)/I40)*100</f>
        <v>0.20801265041336894</v>
      </c>
      <c r="I40" s="23">
        <f t="shared" si="21"/>
        <v>100877234.91000001</v>
      </c>
      <c r="J40" s="38"/>
      <c r="K40" s="41">
        <f t="shared" ref="K40" si="29">((G40-L40)/L40)*100</f>
        <v>17.746864903060988</v>
      </c>
      <c r="L40" s="23">
        <f t="shared" si="23"/>
        <v>85851179.480000004</v>
      </c>
      <c r="M40" s="1"/>
      <c r="N40" s="32"/>
      <c r="O40" s="32"/>
      <c r="P40" s="32"/>
    </row>
    <row r="41" spans="2:17" hidden="1" x14ac:dyDescent="0.3">
      <c r="B41" s="33">
        <v>36</v>
      </c>
      <c r="C41" s="67"/>
      <c r="D41" s="23"/>
      <c r="E41" s="23"/>
      <c r="F41" s="40"/>
      <c r="G41" s="23"/>
      <c r="H41" s="41"/>
      <c r="I41" s="23"/>
      <c r="J41" s="38"/>
      <c r="K41" s="41"/>
      <c r="L41" s="23"/>
      <c r="M41" s="1"/>
      <c r="N41" s="32"/>
      <c r="O41" s="32"/>
    </row>
    <row r="42" spans="2:17" hidden="1" x14ac:dyDescent="0.3">
      <c r="B42" s="33">
        <v>37</v>
      </c>
      <c r="C42" s="67"/>
      <c r="D42" s="23"/>
      <c r="E42" s="23"/>
      <c r="F42" s="40"/>
      <c r="G42" s="23"/>
      <c r="H42" s="41"/>
      <c r="I42" s="23"/>
      <c r="J42" s="38"/>
      <c r="K42" s="41"/>
      <c r="L42" s="23"/>
      <c r="M42" s="1"/>
      <c r="N42" s="32"/>
      <c r="O42" s="32"/>
    </row>
    <row r="43" spans="2:17" hidden="1" x14ac:dyDescent="0.3">
      <c r="B43" s="33">
        <v>38</v>
      </c>
      <c r="C43" s="67"/>
      <c r="D43" s="23"/>
      <c r="E43" s="23"/>
      <c r="F43" s="40"/>
      <c r="G43" s="23"/>
      <c r="H43" s="41"/>
      <c r="I43" s="23"/>
      <c r="J43" s="38"/>
      <c r="K43" s="41"/>
      <c r="L43" s="23"/>
      <c r="M43" s="1"/>
      <c r="N43" s="32"/>
      <c r="O43" s="32"/>
    </row>
    <row r="44" spans="2:17" hidden="1" x14ac:dyDescent="0.3">
      <c r="B44" s="33">
        <v>39</v>
      </c>
      <c r="C44" s="67"/>
      <c r="D44" s="23"/>
      <c r="E44" s="23"/>
      <c r="F44" s="40"/>
      <c r="G44" s="23"/>
      <c r="H44" s="41"/>
      <c r="I44" s="23"/>
      <c r="J44" s="38"/>
      <c r="K44" s="41"/>
      <c r="L44" s="23"/>
      <c r="M44" s="1"/>
      <c r="N44" s="32"/>
      <c r="O44" s="32"/>
    </row>
    <row r="45" spans="2:17" hidden="1" x14ac:dyDescent="0.3">
      <c r="B45" s="33">
        <v>40</v>
      </c>
      <c r="C45" s="67"/>
      <c r="D45" s="23"/>
      <c r="E45" s="23"/>
      <c r="F45" s="40"/>
      <c r="G45" s="23"/>
      <c r="H45" s="41"/>
      <c r="I45" s="23"/>
      <c r="J45" s="38"/>
      <c r="K45" s="41"/>
      <c r="L45" s="23"/>
      <c r="M45" s="1"/>
      <c r="N45" s="32"/>
      <c r="O45" s="32"/>
    </row>
    <row r="46" spans="2:17" x14ac:dyDescent="0.3">
      <c r="B46" s="76"/>
      <c r="C46" s="77"/>
      <c r="D46" s="35"/>
      <c r="E46" s="35"/>
      <c r="F46" s="47"/>
      <c r="G46" s="47"/>
      <c r="H46" s="62"/>
      <c r="I46" s="35"/>
      <c r="J46" s="35"/>
      <c r="K46" s="62"/>
      <c r="L46" s="35"/>
      <c r="M46" s="1"/>
      <c r="N46" s="32"/>
      <c r="O46" s="32"/>
      <c r="P46" s="32"/>
    </row>
    <row r="47" spans="2:17" x14ac:dyDescent="0.3">
      <c r="B47" s="8" t="s">
        <v>27</v>
      </c>
      <c r="C47" s="5"/>
      <c r="D47" s="6"/>
      <c r="E47" s="6"/>
      <c r="F47" s="6"/>
      <c r="G47" s="2"/>
      <c r="H47" s="6"/>
      <c r="I47" s="6"/>
      <c r="J47" s="6"/>
      <c r="M47" s="32"/>
      <c r="N47" s="32"/>
    </row>
    <row r="48" spans="2:17" x14ac:dyDescent="0.3">
      <c r="B48" s="9" t="s">
        <v>28</v>
      </c>
      <c r="C48" s="5"/>
      <c r="D48" s="6"/>
      <c r="E48" s="6"/>
      <c r="F48" s="6"/>
      <c r="G48" s="2"/>
      <c r="H48" s="6"/>
      <c r="I48" s="6"/>
      <c r="J48" s="6"/>
    </row>
    <row r="49" spans="2:15" x14ac:dyDescent="0.3">
      <c r="B49" s="9" t="s">
        <v>29</v>
      </c>
      <c r="C49" s="5"/>
      <c r="D49" s="6"/>
      <c r="E49" s="6"/>
      <c r="F49" s="6"/>
      <c r="G49" s="2"/>
      <c r="H49" s="6"/>
      <c r="I49" s="6"/>
      <c r="J49" s="6"/>
    </row>
    <row r="50" spans="2:15" x14ac:dyDescent="0.3">
      <c r="B50" s="9" t="s">
        <v>30</v>
      </c>
      <c r="C50" s="5"/>
      <c r="D50" s="6"/>
      <c r="E50" s="6"/>
      <c r="F50" s="6"/>
      <c r="G50" s="2"/>
      <c r="H50" s="6"/>
      <c r="I50" s="6"/>
      <c r="J50" s="6"/>
    </row>
    <row r="51" spans="2:15" x14ac:dyDescent="0.3">
      <c r="B51" s="10"/>
      <c r="C51" s="10"/>
      <c r="D51" s="35"/>
      <c r="E51" s="35"/>
      <c r="F51" s="35"/>
      <c r="G51" s="2"/>
      <c r="H51" s="35"/>
      <c r="I51" s="35"/>
      <c r="J51" s="35"/>
      <c r="K51" s="35"/>
      <c r="L51" s="35"/>
      <c r="M51" s="30"/>
    </row>
    <row r="52" spans="2:15" x14ac:dyDescent="0.3">
      <c r="B52" s="9"/>
      <c r="C52" s="5"/>
      <c r="D52" s="6"/>
      <c r="E52" s="6"/>
      <c r="F52" s="6"/>
      <c r="G52" s="6"/>
      <c r="H52" s="6"/>
      <c r="I52" s="6"/>
      <c r="J52" s="6"/>
      <c r="K52" s="34"/>
    </row>
    <row r="53" spans="2:15" ht="18" x14ac:dyDescent="0.35">
      <c r="B53" s="10"/>
      <c r="C53" s="10"/>
      <c r="D53" s="162" t="s">
        <v>31</v>
      </c>
      <c r="E53" s="162"/>
      <c r="F53" s="162"/>
      <c r="G53" s="162"/>
      <c r="H53" s="162"/>
      <c r="I53" s="162"/>
      <c r="J53" s="105"/>
      <c r="K53" s="138"/>
      <c r="L53" s="138"/>
    </row>
    <row r="54" spans="2:15" s="28" customFormat="1" ht="21" x14ac:dyDescent="0.4">
      <c r="B54" s="24"/>
      <c r="C54" s="24"/>
      <c r="D54" s="163" t="s">
        <v>32</v>
      </c>
      <c r="E54" s="163"/>
      <c r="F54" s="163"/>
      <c r="G54" s="163"/>
      <c r="H54" s="163"/>
      <c r="I54" s="163"/>
      <c r="J54" s="45"/>
      <c r="K54" s="138"/>
      <c r="L54" s="138"/>
    </row>
    <row r="55" spans="2:15" ht="15.9" customHeight="1" x14ac:dyDescent="0.3">
      <c r="B55" s="132" t="s">
        <v>88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30"/>
    </row>
    <row r="56" spans="2:15" ht="15" customHeight="1" x14ac:dyDescent="0.3">
      <c r="B56" s="14"/>
      <c r="C56" s="15"/>
      <c r="D56" s="152" t="s">
        <v>6</v>
      </c>
      <c r="E56" s="153"/>
      <c r="F56" s="153"/>
      <c r="G56" s="154"/>
      <c r="H56" s="143" t="s">
        <v>7</v>
      </c>
      <c r="I56" s="144"/>
      <c r="J56" s="46"/>
      <c r="K56" s="143" t="s">
        <v>8</v>
      </c>
      <c r="L56" s="144"/>
    </row>
    <row r="57" spans="2:15" ht="14.4" customHeight="1" x14ac:dyDescent="0.3">
      <c r="B57" s="12"/>
      <c r="C57" s="13"/>
      <c r="D57" s="155" t="s">
        <v>9</v>
      </c>
      <c r="E57" s="156"/>
      <c r="F57" s="156"/>
      <c r="G57" s="157"/>
      <c r="H57" s="145"/>
      <c r="I57" s="146"/>
      <c r="J57" s="46"/>
      <c r="K57" s="145"/>
      <c r="L57" s="146"/>
    </row>
    <row r="58" spans="2:15" ht="14.4" customHeight="1" x14ac:dyDescent="0.3">
      <c r="B58" s="111" t="s">
        <v>10</v>
      </c>
      <c r="C58" s="113" t="s">
        <v>11</v>
      </c>
      <c r="D58" s="44" t="s">
        <v>12</v>
      </c>
      <c r="E58" s="44" t="s">
        <v>13</v>
      </c>
      <c r="F58" s="44" t="s">
        <v>14</v>
      </c>
      <c r="G58" s="44" t="s">
        <v>15</v>
      </c>
      <c r="H58" s="139" t="s">
        <v>16</v>
      </c>
      <c r="I58" s="141" t="s">
        <v>17</v>
      </c>
      <c r="J58" s="47"/>
      <c r="K58" s="139" t="s">
        <v>18</v>
      </c>
      <c r="L58" s="141" t="s">
        <v>19</v>
      </c>
    </row>
    <row r="59" spans="2:15" ht="38.4" customHeight="1" x14ac:dyDescent="0.3">
      <c r="B59" s="112"/>
      <c r="C59" s="114"/>
      <c r="D59" s="147" t="s">
        <v>20</v>
      </c>
      <c r="E59" s="148"/>
      <c r="F59" s="148"/>
      <c r="G59" s="149"/>
      <c r="H59" s="140"/>
      <c r="I59" s="142"/>
      <c r="J59" s="47"/>
      <c r="K59" s="140"/>
      <c r="L59" s="142"/>
    </row>
    <row r="60" spans="2:15" x14ac:dyDescent="0.3">
      <c r="B60" s="33">
        <v>4</v>
      </c>
      <c r="C60" s="31" t="s">
        <v>21</v>
      </c>
      <c r="D60" s="18">
        <v>1599778.44</v>
      </c>
      <c r="E60" s="18">
        <v>0</v>
      </c>
      <c r="F60" s="36">
        <f>+D60+E60</f>
        <v>1599778.44</v>
      </c>
      <c r="G60" s="18">
        <f>+F60</f>
        <v>1599778.44</v>
      </c>
      <c r="H60" s="37">
        <f t="shared" ref="H60:H75" si="30">((G60-I60)/I60)*100</f>
        <v>128.08255308198244</v>
      </c>
      <c r="I60" s="18">
        <v>701403.25</v>
      </c>
      <c r="J60" s="38"/>
      <c r="K60" s="39">
        <f t="shared" ref="K60:K81" si="31">((G60-L60)/L60)*100</f>
        <v>-34.026320157977501</v>
      </c>
      <c r="L60" s="20">
        <f>7274621.23/3</f>
        <v>2424873.7433333336</v>
      </c>
    </row>
    <row r="61" spans="2:15" x14ac:dyDescent="0.3">
      <c r="B61" s="33">
        <v>5</v>
      </c>
      <c r="C61" s="31" t="s">
        <v>22</v>
      </c>
      <c r="D61" s="23">
        <v>5622775.5199999996</v>
      </c>
      <c r="E61" s="23">
        <v>0</v>
      </c>
      <c r="F61" s="40">
        <f>+E61+D61</f>
        <v>5622775.5199999996</v>
      </c>
      <c r="G61" s="23">
        <f>+G60+F61</f>
        <v>7222553.959999999</v>
      </c>
      <c r="H61" s="41">
        <f t="shared" si="30"/>
        <v>49.144504633418961</v>
      </c>
      <c r="I61" s="23">
        <f>+I60+4141251.85</f>
        <v>4842655.0999999996</v>
      </c>
      <c r="J61" s="38"/>
      <c r="K61" s="41">
        <f t="shared" si="31"/>
        <v>-4.4859812394465441</v>
      </c>
      <c r="L61" s="23">
        <f>22685321.13/3</f>
        <v>7561773.71</v>
      </c>
    </row>
    <row r="62" spans="2:15" x14ac:dyDescent="0.3">
      <c r="B62" s="33">
        <v>6</v>
      </c>
      <c r="C62" s="31" t="s">
        <v>23</v>
      </c>
      <c r="D62" s="23">
        <v>8495852.0099999998</v>
      </c>
      <c r="E62" s="23">
        <v>0</v>
      </c>
      <c r="F62" s="40">
        <f>+E62+D62</f>
        <v>8495852.0099999998</v>
      </c>
      <c r="G62" s="23">
        <f t="shared" ref="G62" si="32">+G61+F62</f>
        <v>15718405.969999999</v>
      </c>
      <c r="H62" s="41">
        <f t="shared" si="30"/>
        <v>86.832983197341335</v>
      </c>
      <c r="I62" s="23">
        <f>+I61+3570423.63</f>
        <v>8413078.7300000004</v>
      </c>
      <c r="J62" s="38"/>
      <c r="K62" s="41">
        <f t="shared" si="31"/>
        <v>28.879260622691326</v>
      </c>
      <c r="L62" s="23">
        <v>12196226.060000001</v>
      </c>
    </row>
    <row r="63" spans="2:15" x14ac:dyDescent="0.3">
      <c r="B63" s="33">
        <v>7</v>
      </c>
      <c r="C63" s="31" t="s">
        <v>24</v>
      </c>
      <c r="D63" s="23">
        <v>3567588.05</v>
      </c>
      <c r="E63" s="23">
        <f>+[1]Thompsons!E49+[1]Flame!E49+'[1]SA Sultana'!E49+'[1]OR Sultana'!E49+[1]Goldens!E49+[1]Currants!E49+[1]Other!E49</f>
        <v>4019845</v>
      </c>
      <c r="F63" s="40">
        <f t="shared" ref="F63:F75" si="33">+E63+D63</f>
        <v>7587433.0499999998</v>
      </c>
      <c r="G63" s="23">
        <f>+G62+F63</f>
        <v>23305839.02</v>
      </c>
      <c r="H63" s="41">
        <f t="shared" si="30"/>
        <v>58.473363365115738</v>
      </c>
      <c r="I63" s="23">
        <f>+I62+6293392.14</f>
        <v>14706470.870000001</v>
      </c>
      <c r="J63" s="38"/>
      <c r="K63" s="41">
        <f t="shared" si="31"/>
        <v>25.708658641412395</v>
      </c>
      <c r="L63" s="23">
        <v>18539565.43</v>
      </c>
      <c r="N63" s="30"/>
      <c r="O63" s="30"/>
    </row>
    <row r="64" spans="2:15" x14ac:dyDescent="0.3">
      <c r="B64" s="33">
        <v>8</v>
      </c>
      <c r="C64" s="31" t="s">
        <v>25</v>
      </c>
      <c r="D64" s="23">
        <v>6905423.6200000001</v>
      </c>
      <c r="E64" s="23">
        <v>0</v>
      </c>
      <c r="F64" s="40">
        <f t="shared" si="33"/>
        <v>6905423.6200000001</v>
      </c>
      <c r="G64" s="23">
        <f t="shared" ref="G64:G75" si="34">+G63+F64</f>
        <v>30211262.640000001</v>
      </c>
      <c r="H64" s="41">
        <f t="shared" si="30"/>
        <v>39.459672634192088</v>
      </c>
      <c r="I64" s="23">
        <v>21663081.57</v>
      </c>
      <c r="J64" s="38"/>
      <c r="K64" s="41">
        <f t="shared" si="31"/>
        <v>16.881059624887744</v>
      </c>
      <c r="L64" s="23">
        <v>25847868.539999999</v>
      </c>
    </row>
    <row r="65" spans="2:14" x14ac:dyDescent="0.3">
      <c r="B65" s="33">
        <v>9</v>
      </c>
      <c r="C65" s="31" t="s">
        <v>26</v>
      </c>
      <c r="D65" s="23">
        <v>5022336.0199999996</v>
      </c>
      <c r="E65" s="23">
        <v>3035</v>
      </c>
      <c r="F65" s="40">
        <f t="shared" si="33"/>
        <v>5025371.0199999996</v>
      </c>
      <c r="G65" s="23">
        <f t="shared" si="34"/>
        <v>35236633.659999996</v>
      </c>
      <c r="H65" s="41">
        <f t="shared" si="30"/>
        <v>20.997850975198109</v>
      </c>
      <c r="I65" s="23">
        <v>29121702.059999999</v>
      </c>
      <c r="J65" s="38"/>
      <c r="K65" s="41">
        <f t="shared" si="31"/>
        <v>3.7123794463932365</v>
      </c>
      <c r="L65" s="23">
        <f>101926020.35/3</f>
        <v>33975340.116666667</v>
      </c>
    </row>
    <row r="66" spans="2:14" x14ac:dyDescent="0.3">
      <c r="B66" s="33">
        <v>10</v>
      </c>
      <c r="C66" s="31" t="s">
        <v>55</v>
      </c>
      <c r="D66" s="23">
        <v>10905337.550000001</v>
      </c>
      <c r="E66" s="23">
        <f>106192+2190</f>
        <v>108382</v>
      </c>
      <c r="F66" s="40">
        <f t="shared" si="33"/>
        <v>11013719.550000001</v>
      </c>
      <c r="G66" s="23">
        <f t="shared" si="34"/>
        <v>46250353.209999993</v>
      </c>
      <c r="H66" s="41">
        <f t="shared" si="30"/>
        <v>15.983377051305473</v>
      </c>
      <c r="I66" s="23">
        <v>39876708.530000001</v>
      </c>
      <c r="J66" s="38"/>
      <c r="K66" s="41">
        <f t="shared" si="31"/>
        <v>7.8013854612162365</v>
      </c>
      <c r="L66" s="23">
        <v>42903301.299999997</v>
      </c>
    </row>
    <row r="67" spans="2:14" x14ac:dyDescent="0.3">
      <c r="B67" s="33">
        <v>11</v>
      </c>
      <c r="C67" s="31" t="s">
        <v>56</v>
      </c>
      <c r="D67" s="23">
        <v>9153994.5500000007</v>
      </c>
      <c r="E67" s="23">
        <v>0</v>
      </c>
      <c r="F67" s="40">
        <f t="shared" si="33"/>
        <v>9153994.5500000007</v>
      </c>
      <c r="G67" s="23">
        <f t="shared" si="34"/>
        <v>55404347.75999999</v>
      </c>
      <c r="H67" s="41">
        <f t="shared" si="30"/>
        <v>17.639081241561239</v>
      </c>
      <c r="I67" s="23">
        <f>+I66+7220180.68</f>
        <v>47096889.210000001</v>
      </c>
      <c r="J67" s="38"/>
      <c r="K67" s="41">
        <f t="shared" si="31"/>
        <v>12.193957908502922</v>
      </c>
      <c r="L67" s="23">
        <v>49382648.399999999</v>
      </c>
    </row>
    <row r="68" spans="2:14" x14ac:dyDescent="0.3">
      <c r="B68" s="33">
        <v>12</v>
      </c>
      <c r="C68" s="31" t="s">
        <v>71</v>
      </c>
      <c r="D68" s="23">
        <v>8901740.5800000001</v>
      </c>
      <c r="E68" s="23">
        <v>0</v>
      </c>
      <c r="F68" s="40">
        <f t="shared" si="33"/>
        <v>8901740.5800000001</v>
      </c>
      <c r="G68" s="23">
        <f t="shared" si="34"/>
        <v>64306088.339999989</v>
      </c>
      <c r="H68" s="41">
        <f t="shared" si="30"/>
        <v>19.068550278008292</v>
      </c>
      <c r="I68" s="23">
        <v>54007618.460000001</v>
      </c>
      <c r="J68" s="38"/>
      <c r="K68" s="41">
        <f t="shared" si="31"/>
        <v>18.811774853205733</v>
      </c>
      <c r="L68" s="23">
        <v>54124339.460000001</v>
      </c>
    </row>
    <row r="69" spans="2:14" x14ac:dyDescent="0.3">
      <c r="B69" s="33">
        <v>13</v>
      </c>
      <c r="C69" s="31" t="s">
        <v>57</v>
      </c>
      <c r="D69" s="23">
        <v>4645948.2699999996</v>
      </c>
      <c r="E69" s="23">
        <v>-12755</v>
      </c>
      <c r="F69" s="40">
        <f t="shared" si="33"/>
        <v>4633193.2699999996</v>
      </c>
      <c r="G69" s="23">
        <f t="shared" si="34"/>
        <v>68939281.609999985</v>
      </c>
      <c r="H69" s="41">
        <f t="shared" si="30"/>
        <v>16.648267700808383</v>
      </c>
      <c r="I69" s="23">
        <v>59100133.219999999</v>
      </c>
      <c r="J69" s="38"/>
      <c r="K69" s="41">
        <f t="shared" si="31"/>
        <v>19.511459069836413</v>
      </c>
      <c r="L69" s="23">
        <v>57684243.960000001</v>
      </c>
    </row>
    <row r="70" spans="2:14" x14ac:dyDescent="0.3">
      <c r="B70" s="33">
        <v>14</v>
      </c>
      <c r="C70" s="49" t="s">
        <v>58</v>
      </c>
      <c r="D70" s="23">
        <v>1361758.54</v>
      </c>
      <c r="E70" s="23">
        <v>274690.5</v>
      </c>
      <c r="F70" s="40">
        <f t="shared" si="33"/>
        <v>1636449.04</v>
      </c>
      <c r="G70" s="23">
        <f t="shared" si="34"/>
        <v>70575730.649999991</v>
      </c>
      <c r="H70" s="41">
        <f t="shared" si="30"/>
        <v>8.0763353064763166</v>
      </c>
      <c r="I70" s="23">
        <f>+I69+6201609.71</f>
        <v>65301742.93</v>
      </c>
      <c r="J70" s="38"/>
      <c r="K70" s="41">
        <f t="shared" si="31"/>
        <v>16.924239479078338</v>
      </c>
      <c r="L70" s="23">
        <v>60360222.109999999</v>
      </c>
    </row>
    <row r="71" spans="2:14" x14ac:dyDescent="0.3">
      <c r="B71" s="33">
        <v>15</v>
      </c>
      <c r="C71" s="31" t="s">
        <v>59</v>
      </c>
      <c r="D71" s="23">
        <v>1942394</v>
      </c>
      <c r="E71" s="23">
        <v>0</v>
      </c>
      <c r="F71" s="40">
        <f t="shared" si="33"/>
        <v>1942394</v>
      </c>
      <c r="G71" s="23">
        <f t="shared" si="34"/>
        <v>72518124.649999991</v>
      </c>
      <c r="H71" s="41">
        <f t="shared" si="30"/>
        <v>5.4835465143493956</v>
      </c>
      <c r="I71" s="23">
        <f>+I70+3446537.77</f>
        <v>68748280.700000003</v>
      </c>
      <c r="J71" s="38"/>
      <c r="K71" s="41">
        <f t="shared" si="31"/>
        <v>16.334984889914089</v>
      </c>
      <c r="L71" s="23">
        <v>62335611.869999997</v>
      </c>
    </row>
    <row r="72" spans="2:14" x14ac:dyDescent="0.3">
      <c r="B72" s="33">
        <v>16</v>
      </c>
      <c r="C72" s="31" t="s">
        <v>60</v>
      </c>
      <c r="D72" s="23">
        <v>2561186.83</v>
      </c>
      <c r="E72" s="23">
        <v>35132</v>
      </c>
      <c r="F72" s="40">
        <f t="shared" si="33"/>
        <v>2596318.83</v>
      </c>
      <c r="G72" s="23">
        <f t="shared" si="34"/>
        <v>75114443.479999989</v>
      </c>
      <c r="H72" s="41">
        <f t="shared" si="30"/>
        <v>3.4387568541124147</v>
      </c>
      <c r="I72" s="23">
        <v>72617310.730000004</v>
      </c>
      <c r="J72" s="38"/>
      <c r="K72" s="41">
        <f t="shared" si="31"/>
        <v>17.198370603141942</v>
      </c>
      <c r="L72" s="23">
        <v>64091713.130000003</v>
      </c>
      <c r="N72" s="32"/>
    </row>
    <row r="73" spans="2:14" x14ac:dyDescent="0.3">
      <c r="B73" s="33">
        <v>17</v>
      </c>
      <c r="C73" s="31" t="s">
        <v>61</v>
      </c>
      <c r="D73" s="23">
        <v>823962</v>
      </c>
      <c r="E73" s="23">
        <v>254307</v>
      </c>
      <c r="F73" s="40">
        <f t="shared" si="33"/>
        <v>1078269</v>
      </c>
      <c r="G73" s="23">
        <f t="shared" si="34"/>
        <v>76192712.479999989</v>
      </c>
      <c r="H73" s="41">
        <f t="shared" si="30"/>
        <v>1.844479346196531</v>
      </c>
      <c r="I73" s="23">
        <f>+I72+2195495</f>
        <v>74812805.730000004</v>
      </c>
      <c r="J73" s="38"/>
      <c r="K73" s="41">
        <f t="shared" si="31"/>
        <v>16.803955029310835</v>
      </c>
      <c r="L73" s="23">
        <v>65231277.880000003</v>
      </c>
    </row>
    <row r="74" spans="2:14" x14ac:dyDescent="0.3">
      <c r="B74" s="33">
        <v>18</v>
      </c>
      <c r="C74" s="31" t="s">
        <v>62</v>
      </c>
      <c r="D74" s="23">
        <v>473042.5</v>
      </c>
      <c r="E74" s="23">
        <v>0</v>
      </c>
      <c r="F74" s="40">
        <f t="shared" si="33"/>
        <v>473042.5</v>
      </c>
      <c r="G74" s="23">
        <f t="shared" si="34"/>
        <v>76665754.979999989</v>
      </c>
      <c r="H74" s="41">
        <f t="shared" si="30"/>
        <v>-2.3696650815192983</v>
      </c>
      <c r="I74" s="23">
        <f>+I73+3713766</f>
        <v>78526571.730000004</v>
      </c>
      <c r="J74" s="38"/>
      <c r="K74" s="41">
        <f t="shared" si="31"/>
        <v>15.096905879831482</v>
      </c>
      <c r="L74" s="23">
        <v>66609744.539999999</v>
      </c>
    </row>
    <row r="75" spans="2:14" x14ac:dyDescent="0.3">
      <c r="B75" s="33">
        <v>19</v>
      </c>
      <c r="C75" s="31" t="s">
        <v>63</v>
      </c>
      <c r="D75" s="23">
        <v>934031.5</v>
      </c>
      <c r="E75" s="23">
        <v>0</v>
      </c>
      <c r="F75" s="40">
        <f t="shared" si="33"/>
        <v>934031.5</v>
      </c>
      <c r="G75" s="23">
        <f t="shared" si="34"/>
        <v>77599786.479999989</v>
      </c>
      <c r="H75" s="41">
        <f t="shared" si="30"/>
        <v>-3.0412646650125423</v>
      </c>
      <c r="I75" s="23">
        <f>+I74+1507255.25</f>
        <v>80033826.980000004</v>
      </c>
      <c r="J75" s="38"/>
      <c r="K75" s="41">
        <f t="shared" si="31"/>
        <v>15.455113084083314</v>
      </c>
      <c r="L75" s="23">
        <v>67212083.040000007</v>
      </c>
    </row>
    <row r="76" spans="2:14" x14ac:dyDescent="0.3">
      <c r="B76" s="33">
        <v>20</v>
      </c>
      <c r="C76" s="31" t="s">
        <v>64</v>
      </c>
      <c r="D76" s="23">
        <v>180191.5</v>
      </c>
      <c r="E76" s="23">
        <v>0</v>
      </c>
      <c r="F76" s="40">
        <f t="shared" ref="F76:F82" si="35">+E76+D76</f>
        <v>180191.5</v>
      </c>
      <c r="G76" s="23">
        <f t="shared" ref="G76:G82" si="36">+G75+F76</f>
        <v>77779977.979999989</v>
      </c>
      <c r="H76" s="41">
        <f t="shared" ref="H76:H81" si="37">((G76-I76)/I76)*100</f>
        <v>-4.4726820260470319</v>
      </c>
      <c r="I76" s="23">
        <f>+I75+1387885.29</f>
        <v>81421712.270000011</v>
      </c>
      <c r="J76" s="38"/>
      <c r="K76" s="41">
        <f t="shared" si="31"/>
        <v>14.551503729870907</v>
      </c>
      <c r="L76" s="23">
        <v>67899569.579999998</v>
      </c>
      <c r="N76" s="32"/>
    </row>
    <row r="77" spans="2:14" x14ac:dyDescent="0.3">
      <c r="B77" s="33">
        <v>21</v>
      </c>
      <c r="C77" s="31" t="s">
        <v>65</v>
      </c>
      <c r="D77" s="23">
        <v>464510</v>
      </c>
      <c r="E77" s="23">
        <v>0</v>
      </c>
      <c r="F77" s="40">
        <f t="shared" si="35"/>
        <v>464510</v>
      </c>
      <c r="G77" s="23">
        <f t="shared" si="36"/>
        <v>78244487.979999989</v>
      </c>
      <c r="H77" s="41">
        <f t="shared" si="37"/>
        <v>-5.0295756744360913</v>
      </c>
      <c r="I77" s="23">
        <f>+I76+966556.01</f>
        <v>82388268.280000016</v>
      </c>
      <c r="J77" s="38"/>
      <c r="K77" s="41">
        <f t="shared" si="31"/>
        <v>14.511459160383211</v>
      </c>
      <c r="L77" s="23">
        <v>68328959</v>
      </c>
    </row>
    <row r="78" spans="2:14" x14ac:dyDescent="0.3">
      <c r="B78" s="33">
        <v>22</v>
      </c>
      <c r="C78" s="31" t="s">
        <v>75</v>
      </c>
      <c r="D78" s="23">
        <v>703286</v>
      </c>
      <c r="E78" s="23">
        <v>0</v>
      </c>
      <c r="F78" s="40">
        <f t="shared" si="35"/>
        <v>703286</v>
      </c>
      <c r="G78" s="23">
        <f t="shared" si="36"/>
        <v>78947773.979999989</v>
      </c>
      <c r="H78" s="41">
        <f t="shared" si="37"/>
        <v>-4.59000410684967</v>
      </c>
      <c r="I78" s="23">
        <f>+I77+357541.78</f>
        <v>82745810.060000017</v>
      </c>
      <c r="J78" s="38"/>
      <c r="K78" s="41">
        <f t="shared" si="31"/>
        <v>15.368359176560546</v>
      </c>
      <c r="L78" s="23">
        <v>68431045.170000002</v>
      </c>
    </row>
    <row r="79" spans="2:14" x14ac:dyDescent="0.3">
      <c r="B79" s="33">
        <v>23</v>
      </c>
      <c r="C79" s="31" t="s">
        <v>76</v>
      </c>
      <c r="D79" s="23">
        <v>894425.5</v>
      </c>
      <c r="E79" s="23">
        <f>+Thompsons!E79</f>
        <v>-69279</v>
      </c>
      <c r="F79" s="40">
        <f t="shared" si="35"/>
        <v>825146.5</v>
      </c>
      <c r="G79" s="23">
        <f t="shared" si="36"/>
        <v>79772920.479999989</v>
      </c>
      <c r="H79" s="41">
        <f t="shared" si="37"/>
        <v>-3.7234008147390663</v>
      </c>
      <c r="I79" s="23">
        <f>+I78+112248.03</f>
        <v>82858058.090000018</v>
      </c>
      <c r="J79" s="38"/>
      <c r="K79" s="41">
        <f t="shared" si="31"/>
        <v>16.49680056719237</v>
      </c>
      <c r="L79" s="23">
        <v>68476490.420000002</v>
      </c>
      <c r="N79" s="32"/>
    </row>
    <row r="80" spans="2:14" x14ac:dyDescent="0.3">
      <c r="B80" s="33">
        <v>24</v>
      </c>
      <c r="C80" s="31" t="s">
        <v>68</v>
      </c>
      <c r="D80" s="23">
        <v>260755.3</v>
      </c>
      <c r="E80" s="23">
        <v>0</v>
      </c>
      <c r="F80" s="40">
        <f t="shared" si="35"/>
        <v>260755.3</v>
      </c>
      <c r="G80" s="23">
        <f t="shared" si="36"/>
        <v>80033675.779999986</v>
      </c>
      <c r="H80" s="41">
        <f t="shared" si="37"/>
        <v>-3.4659740182047196</v>
      </c>
      <c r="I80" s="23">
        <f>+I79+49160.34</f>
        <v>82907218.430000022</v>
      </c>
      <c r="J80" s="38"/>
      <c r="K80" s="41">
        <f t="shared" si="31"/>
        <v>15.926115887025244</v>
      </c>
      <c r="L80" s="23">
        <v>69038520.930000007</v>
      </c>
    </row>
    <row r="81" spans="2:16" x14ac:dyDescent="0.3">
      <c r="B81" s="33">
        <v>25</v>
      </c>
      <c r="C81" s="67" t="s">
        <v>69</v>
      </c>
      <c r="D81" s="23">
        <v>374038.2</v>
      </c>
      <c r="E81" s="23">
        <v>0</v>
      </c>
      <c r="F81" s="40">
        <f t="shared" si="35"/>
        <v>374038.2</v>
      </c>
      <c r="G81" s="23">
        <f t="shared" si="36"/>
        <v>80407713.979999989</v>
      </c>
      <c r="H81" s="41">
        <f t="shared" si="37"/>
        <v>-3.0148212632539435</v>
      </c>
      <c r="I81" s="23">
        <f>+I80+0</f>
        <v>82907218.430000022</v>
      </c>
      <c r="J81" s="38"/>
      <c r="K81" s="41">
        <f t="shared" si="31"/>
        <v>16.467897771922878</v>
      </c>
      <c r="L81" s="23">
        <f>+L80+0</f>
        <v>69038520.930000007</v>
      </c>
      <c r="M81" s="32"/>
    </row>
    <row r="82" spans="2:16" x14ac:dyDescent="0.3">
      <c r="B82" s="33">
        <v>26</v>
      </c>
      <c r="C82" s="67" t="s">
        <v>70</v>
      </c>
      <c r="D82" s="94">
        <v>68990.8</v>
      </c>
      <c r="E82" s="95">
        <v>37775</v>
      </c>
      <c r="F82" s="96">
        <f t="shared" si="35"/>
        <v>106765.8</v>
      </c>
      <c r="G82" s="23">
        <f t="shared" si="36"/>
        <v>80514479.779999986</v>
      </c>
      <c r="H82" s="41">
        <f t="shared" ref="H82" si="38">((G82-I82)/I82)*100</f>
        <v>-2.8860438153769032</v>
      </c>
      <c r="I82" s="23">
        <f>+I81+0</f>
        <v>82907218.430000022</v>
      </c>
      <c r="J82" s="38"/>
      <c r="K82" s="41">
        <f t="shared" ref="K82" si="39">((G82-L82)/L82)*100</f>
        <v>16.622544480110978</v>
      </c>
      <c r="L82" s="23">
        <f>+L81+0</f>
        <v>69038520.930000007</v>
      </c>
      <c r="M82" s="32"/>
    </row>
    <row r="83" spans="2:16" x14ac:dyDescent="0.3">
      <c r="B83" s="33">
        <v>27</v>
      </c>
      <c r="C83" s="67" t="s">
        <v>79</v>
      </c>
      <c r="D83" s="99">
        <v>67033.5</v>
      </c>
      <c r="E83" s="100">
        <v>0</v>
      </c>
      <c r="F83" s="101">
        <f t="shared" ref="F83:F84" si="40">+E83+D83</f>
        <v>67033.5</v>
      </c>
      <c r="G83" s="100">
        <f t="shared" ref="G83:G84" si="41">+G82+F83</f>
        <v>80581513.279999986</v>
      </c>
      <c r="H83" s="41">
        <f t="shared" ref="H83:H84" si="42">((G83-I83)/I83)*100</f>
        <v>-2.8051901801091885</v>
      </c>
      <c r="I83" s="23">
        <f>+I82+0</f>
        <v>82907218.430000022</v>
      </c>
      <c r="J83" s="38"/>
      <c r="K83" s="41">
        <f t="shared" ref="K83:K84" si="43">((G83-L83)/L83)*100</f>
        <v>16.719640274019959</v>
      </c>
      <c r="L83" s="23">
        <f>+L82+0</f>
        <v>69038520.930000007</v>
      </c>
      <c r="M83" s="32"/>
    </row>
    <row r="84" spans="2:16" x14ac:dyDescent="0.3">
      <c r="B84" s="33">
        <v>28</v>
      </c>
      <c r="C84" s="67" t="s">
        <v>80</v>
      </c>
      <c r="D84" s="18">
        <v>104027</v>
      </c>
      <c r="E84" s="18">
        <v>-226630</v>
      </c>
      <c r="F84" s="36">
        <f t="shared" si="40"/>
        <v>-122603</v>
      </c>
      <c r="G84" s="18">
        <f t="shared" si="41"/>
        <v>80458910.279999986</v>
      </c>
      <c r="H84" s="41">
        <f t="shared" si="42"/>
        <v>-2.9530699453717459</v>
      </c>
      <c r="I84" s="23">
        <f>+I83+0</f>
        <v>82907218.430000022</v>
      </c>
      <c r="J84" s="38"/>
      <c r="K84" s="41">
        <f t="shared" si="43"/>
        <v>16.542053908685872</v>
      </c>
      <c r="L84" s="23">
        <f>+L83+0</f>
        <v>69038520.930000007</v>
      </c>
      <c r="M84" s="32"/>
      <c r="N84" s="32"/>
      <c r="O84" s="32"/>
      <c r="P84" s="32"/>
    </row>
    <row r="85" spans="2:16" x14ac:dyDescent="0.3">
      <c r="B85" s="33">
        <v>29</v>
      </c>
      <c r="C85" s="67" t="s">
        <v>81</v>
      </c>
      <c r="D85" s="18">
        <v>11761</v>
      </c>
      <c r="E85" s="18">
        <v>0</v>
      </c>
      <c r="F85" s="36">
        <f t="shared" ref="F85:F88" si="44">+E85+D85</f>
        <v>11761</v>
      </c>
      <c r="G85" s="18">
        <f t="shared" ref="G85:G88" si="45">+G84+F85</f>
        <v>80470671.279999986</v>
      </c>
      <c r="H85" s="41">
        <f t="shared" ref="H85:H88" si="46">((G85-I85)/I85)*100</f>
        <v>-2.9388842083240969</v>
      </c>
      <c r="I85" s="23">
        <f t="shared" ref="I85:I91" si="47">+I84+0</f>
        <v>82907218.430000022</v>
      </c>
      <c r="J85" s="38"/>
      <c r="K85" s="41">
        <f t="shared" ref="K85:K88" si="48">((G85-L85)/L85)*100</f>
        <v>16.559089325785731</v>
      </c>
      <c r="L85" s="23">
        <f t="shared" ref="L85:L91" si="49">+L84+0</f>
        <v>69038520.930000007</v>
      </c>
      <c r="M85" s="32"/>
      <c r="N85" s="32"/>
      <c r="O85" s="32"/>
      <c r="P85" s="32"/>
    </row>
    <row r="86" spans="2:16" x14ac:dyDescent="0.3">
      <c r="B86" s="33">
        <v>30</v>
      </c>
      <c r="C86" s="67" t="s">
        <v>82</v>
      </c>
      <c r="D86" s="23">
        <v>162501</v>
      </c>
      <c r="E86" s="18">
        <v>0</v>
      </c>
      <c r="F86" s="36">
        <f t="shared" si="44"/>
        <v>162501</v>
      </c>
      <c r="G86" s="18">
        <f t="shared" si="45"/>
        <v>80633172.279999986</v>
      </c>
      <c r="H86" s="41">
        <f t="shared" si="46"/>
        <v>-2.7428807684822423</v>
      </c>
      <c r="I86" s="23">
        <f t="shared" si="47"/>
        <v>82907218.430000022</v>
      </c>
      <c r="J86" s="38"/>
      <c r="K86" s="41">
        <f t="shared" si="48"/>
        <v>16.794466616334532</v>
      </c>
      <c r="L86" s="23">
        <f t="shared" si="49"/>
        <v>69038520.930000007</v>
      </c>
      <c r="M86" s="32"/>
      <c r="N86" s="32"/>
      <c r="O86" s="32"/>
      <c r="P86" s="32"/>
    </row>
    <row r="87" spans="2:16" x14ac:dyDescent="0.3">
      <c r="B87" s="33">
        <v>31</v>
      </c>
      <c r="C87" s="67" t="s">
        <v>83</v>
      </c>
      <c r="D87" s="18">
        <v>53364</v>
      </c>
      <c r="E87" s="18">
        <v>0</v>
      </c>
      <c r="F87" s="36">
        <f t="shared" si="44"/>
        <v>53364</v>
      </c>
      <c r="G87" s="18">
        <f t="shared" si="45"/>
        <v>80686536.279999986</v>
      </c>
      <c r="H87" s="41">
        <f t="shared" si="46"/>
        <v>-2.6785148411112063</v>
      </c>
      <c r="I87" s="23">
        <f t="shared" si="47"/>
        <v>82907218.430000022</v>
      </c>
      <c r="J87" s="38"/>
      <c r="K87" s="41">
        <f t="shared" si="48"/>
        <v>16.871762594407567</v>
      </c>
      <c r="L87" s="23">
        <f t="shared" si="49"/>
        <v>69038520.930000007</v>
      </c>
      <c r="M87" s="32"/>
      <c r="N87" s="32"/>
      <c r="O87" s="32"/>
      <c r="P87" s="32"/>
    </row>
    <row r="88" spans="2:16" x14ac:dyDescent="0.3">
      <c r="B88" s="33">
        <v>32</v>
      </c>
      <c r="C88" s="67" t="s">
        <v>84</v>
      </c>
      <c r="D88" s="18">
        <v>20850</v>
      </c>
      <c r="E88" s="18">
        <v>0</v>
      </c>
      <c r="F88" s="36">
        <f t="shared" si="44"/>
        <v>20850</v>
      </c>
      <c r="G88" s="18">
        <f t="shared" si="45"/>
        <v>80707386.279999986</v>
      </c>
      <c r="H88" s="41">
        <f t="shared" si="46"/>
        <v>-2.6533662468213084</v>
      </c>
      <c r="I88" s="23">
        <f t="shared" si="47"/>
        <v>82907218.430000022</v>
      </c>
      <c r="J88" s="38"/>
      <c r="K88" s="41">
        <f t="shared" si="48"/>
        <v>16.901963125530099</v>
      </c>
      <c r="L88" s="23">
        <f t="shared" si="49"/>
        <v>69038520.930000007</v>
      </c>
      <c r="M88" s="32"/>
      <c r="N88" s="32"/>
      <c r="O88" s="32"/>
      <c r="P88" s="32"/>
    </row>
    <row r="89" spans="2:16" x14ac:dyDescent="0.3">
      <c r="B89" s="33">
        <v>33</v>
      </c>
      <c r="C89" s="67" t="s">
        <v>85</v>
      </c>
      <c r="D89" s="23">
        <f>+F89-E89</f>
        <v>54907</v>
      </c>
      <c r="E89" s="23">
        <f>0.5+3862+415.5+32871-7299+6268+33510-14392+2414-21110</f>
        <v>36540</v>
      </c>
      <c r="F89" s="40">
        <v>91447</v>
      </c>
      <c r="G89" s="18">
        <f>+G88+F89</f>
        <v>80798833.279999986</v>
      </c>
      <c r="H89" s="41">
        <f t="shared" ref="H89:H91" si="50">((G89-I89)/I89)*100</f>
        <v>-2.5430658390501684</v>
      </c>
      <c r="I89" s="23">
        <f t="shared" si="47"/>
        <v>82907218.430000022</v>
      </c>
      <c r="J89" s="38"/>
      <c r="K89" s="41">
        <f t="shared" ref="K89:K91" si="51">((G89-L89)/L89)*100</f>
        <v>17.034421061720124</v>
      </c>
      <c r="L89" s="23">
        <f t="shared" si="49"/>
        <v>69038520.930000007</v>
      </c>
      <c r="M89" s="32"/>
      <c r="N89" s="32"/>
      <c r="O89" s="32"/>
      <c r="P89" s="32"/>
    </row>
    <row r="90" spans="2:16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80798833.279999986</v>
      </c>
      <c r="H90" s="41">
        <f t="shared" si="50"/>
        <v>-2.5430658390501684</v>
      </c>
      <c r="I90" s="23">
        <f t="shared" si="47"/>
        <v>82907218.430000022</v>
      </c>
      <c r="J90" s="38"/>
      <c r="K90" s="41">
        <f t="shared" si="51"/>
        <v>17.034421061720124</v>
      </c>
      <c r="L90" s="23">
        <f t="shared" si="49"/>
        <v>69038520.930000007</v>
      </c>
      <c r="M90" s="32"/>
      <c r="N90" s="32"/>
      <c r="O90" s="32"/>
      <c r="P90" s="32"/>
    </row>
    <row r="91" spans="2:16" x14ac:dyDescent="0.3">
      <c r="B91" s="33">
        <v>35</v>
      </c>
      <c r="C91" s="67" t="s">
        <v>86</v>
      </c>
      <c r="D91" s="23">
        <v>91647.5</v>
      </c>
      <c r="E91" s="23">
        <v>-41</v>
      </c>
      <c r="F91" s="40">
        <f>+E91+D91</f>
        <v>91606.5</v>
      </c>
      <c r="G91" s="108">
        <f>+G90+F91</f>
        <v>80890439.779999986</v>
      </c>
      <c r="H91" s="41">
        <f t="shared" si="50"/>
        <v>-2.4325730475481295</v>
      </c>
      <c r="I91" s="23">
        <f t="shared" si="47"/>
        <v>82907218.430000022</v>
      </c>
      <c r="J91" s="38"/>
      <c r="K91" s="41">
        <f t="shared" si="51"/>
        <v>17.167110028352077</v>
      </c>
      <c r="L91" s="23">
        <f t="shared" si="49"/>
        <v>69038520.930000007</v>
      </c>
      <c r="M91" s="32"/>
      <c r="N91" s="32"/>
      <c r="O91" s="32"/>
      <c r="P91" s="32"/>
    </row>
    <row r="92" spans="2:16" hidden="1" x14ac:dyDescent="0.3">
      <c r="B92" s="33">
        <v>36</v>
      </c>
      <c r="C92" s="67"/>
      <c r="D92" s="18"/>
      <c r="E92" s="18"/>
      <c r="F92" s="36"/>
      <c r="G92" s="18"/>
      <c r="H92" s="41"/>
      <c r="I92" s="23"/>
      <c r="J92" s="38"/>
      <c r="K92" s="41"/>
      <c r="L92" s="23"/>
      <c r="M92" s="32"/>
      <c r="N92" s="32"/>
      <c r="O92" s="32"/>
      <c r="P92" s="32"/>
    </row>
    <row r="93" spans="2:16" hidden="1" x14ac:dyDescent="0.3">
      <c r="B93" s="33">
        <v>37</v>
      </c>
      <c r="C93" s="67"/>
      <c r="D93" s="18"/>
      <c r="E93" s="18"/>
      <c r="F93" s="36"/>
      <c r="G93" s="18"/>
      <c r="H93" s="41"/>
      <c r="I93" s="23"/>
      <c r="J93" s="38"/>
      <c r="K93" s="41"/>
      <c r="L93" s="23"/>
      <c r="M93" s="32"/>
      <c r="N93" s="32"/>
      <c r="O93" s="32"/>
      <c r="P93" s="32"/>
    </row>
    <row r="94" spans="2:16" hidden="1" x14ac:dyDescent="0.3">
      <c r="B94" s="33">
        <v>38</v>
      </c>
      <c r="C94" s="67"/>
      <c r="D94" s="18"/>
      <c r="E94" s="18"/>
      <c r="F94" s="36"/>
      <c r="G94" s="18"/>
      <c r="H94" s="41"/>
      <c r="I94" s="23"/>
      <c r="J94" s="38"/>
      <c r="K94" s="41"/>
      <c r="L94" s="23"/>
      <c r="M94" s="32"/>
      <c r="N94" s="32"/>
      <c r="O94" s="32"/>
      <c r="P94" s="32"/>
    </row>
    <row r="95" spans="2:16" hidden="1" x14ac:dyDescent="0.3">
      <c r="B95" s="33">
        <v>39</v>
      </c>
      <c r="C95" s="67"/>
      <c r="D95" s="18"/>
      <c r="E95" s="18"/>
      <c r="F95" s="36"/>
      <c r="G95" s="18"/>
      <c r="H95" s="41"/>
      <c r="I95" s="23"/>
      <c r="J95" s="38"/>
      <c r="K95" s="41"/>
      <c r="L95" s="23"/>
      <c r="M95" s="32"/>
      <c r="N95" s="32"/>
      <c r="O95" s="32"/>
      <c r="P95" s="32"/>
    </row>
    <row r="96" spans="2:16" hidden="1" x14ac:dyDescent="0.3">
      <c r="B96" s="33">
        <v>40</v>
      </c>
      <c r="C96" s="67"/>
      <c r="D96" s="18"/>
      <c r="E96" s="18"/>
      <c r="F96" s="36"/>
      <c r="G96" s="18"/>
      <c r="H96" s="41"/>
      <c r="I96" s="23"/>
      <c r="J96" s="38"/>
      <c r="K96" s="41"/>
      <c r="L96" s="23"/>
      <c r="M96" s="32"/>
      <c r="N96" s="32"/>
      <c r="O96" s="32"/>
      <c r="P96" s="32"/>
    </row>
    <row r="97" spans="2:13" x14ac:dyDescent="0.3">
      <c r="B97" s="5"/>
      <c r="C97" s="5"/>
      <c r="D97" s="6"/>
      <c r="E97" s="6"/>
      <c r="F97" s="6"/>
      <c r="G97" s="6"/>
      <c r="H97" s="6"/>
      <c r="I97" s="6"/>
      <c r="J97" s="6"/>
      <c r="M97" s="32"/>
    </row>
    <row r="98" spans="2:13" x14ac:dyDescent="0.3">
      <c r="B98" s="8" t="s">
        <v>27</v>
      </c>
      <c r="C98" s="5"/>
      <c r="D98" s="6"/>
      <c r="E98" s="6"/>
      <c r="F98" s="6"/>
      <c r="G98" s="6"/>
      <c r="H98" s="6"/>
      <c r="I98" s="6"/>
      <c r="J98" s="6"/>
    </row>
    <row r="99" spans="2:13" x14ac:dyDescent="0.3">
      <c r="B99" s="9" t="s">
        <v>28</v>
      </c>
      <c r="C99" s="5"/>
      <c r="D99" s="6"/>
      <c r="E99" s="6"/>
      <c r="F99" s="6"/>
      <c r="G99" s="6"/>
      <c r="H99" s="6"/>
      <c r="I99" s="6"/>
      <c r="J99" s="6"/>
    </row>
    <row r="100" spans="2:13" x14ac:dyDescent="0.3">
      <c r="B100" s="9" t="s">
        <v>29</v>
      </c>
      <c r="C100" s="5"/>
      <c r="D100" s="6"/>
      <c r="E100" s="6"/>
      <c r="F100" s="6"/>
      <c r="G100" s="6"/>
      <c r="H100" s="6"/>
      <c r="I100" s="6"/>
      <c r="J100" s="6"/>
    </row>
    <row r="101" spans="2:13" x14ac:dyDescent="0.3">
      <c r="B101" s="9" t="s">
        <v>30</v>
      </c>
      <c r="C101" s="5"/>
      <c r="D101" s="6"/>
      <c r="E101" s="6"/>
      <c r="F101" s="6"/>
      <c r="G101" s="6"/>
      <c r="H101" s="6"/>
      <c r="I101" s="6"/>
      <c r="J101" s="6"/>
    </row>
    <row r="102" spans="2:13" x14ac:dyDescent="0.3">
      <c r="B102" s="10"/>
      <c r="C102" s="10"/>
      <c r="D102" s="35"/>
      <c r="E102" s="35"/>
      <c r="F102" s="35"/>
      <c r="G102" s="35"/>
      <c r="H102" s="35"/>
      <c r="I102" s="35"/>
      <c r="J102" s="35"/>
    </row>
    <row r="103" spans="2:13" x14ac:dyDescent="0.3">
      <c r="B103" s="10"/>
      <c r="C103" s="10"/>
      <c r="D103" s="35"/>
      <c r="E103" s="35"/>
      <c r="F103" s="35"/>
      <c r="G103" s="35"/>
      <c r="H103" s="35"/>
      <c r="I103" s="35"/>
      <c r="J103" s="35"/>
    </row>
    <row r="104" spans="2:13" ht="18" x14ac:dyDescent="0.35">
      <c r="B104" s="10"/>
      <c r="C104" s="10"/>
      <c r="D104" s="158" t="s">
        <v>33</v>
      </c>
      <c r="E104" s="158"/>
      <c r="F104" s="158"/>
      <c r="G104" s="158"/>
      <c r="H104" s="158"/>
      <c r="I104" s="158"/>
      <c r="J104" s="35"/>
    </row>
    <row r="105" spans="2:13" s="28" customFormat="1" ht="21" x14ac:dyDescent="0.4">
      <c r="B105" s="24"/>
      <c r="C105" s="24"/>
      <c r="D105" s="159" t="s">
        <v>32</v>
      </c>
      <c r="E105" s="159"/>
      <c r="F105" s="159"/>
      <c r="G105" s="159"/>
      <c r="H105" s="159"/>
      <c r="I105" s="159"/>
      <c r="J105" s="45"/>
      <c r="K105" s="48"/>
      <c r="L105" s="48"/>
    </row>
    <row r="106" spans="2:13" ht="15.9" customHeight="1" x14ac:dyDescent="0.3">
      <c r="B106" s="132" t="s">
        <v>88</v>
      </c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</row>
    <row r="107" spans="2:13" ht="14.4" customHeight="1" x14ac:dyDescent="0.3">
      <c r="B107" s="14"/>
      <c r="C107" s="15"/>
      <c r="D107" s="152" t="s">
        <v>6</v>
      </c>
      <c r="E107" s="153"/>
      <c r="F107" s="153"/>
      <c r="G107" s="154"/>
      <c r="H107" s="143" t="s">
        <v>7</v>
      </c>
      <c r="I107" s="144"/>
      <c r="J107" s="46"/>
      <c r="K107" s="143" t="s">
        <v>8</v>
      </c>
      <c r="L107" s="144"/>
    </row>
    <row r="108" spans="2:13" ht="14.4" customHeight="1" x14ac:dyDescent="0.3">
      <c r="B108" s="12"/>
      <c r="C108" s="13"/>
      <c r="D108" s="155" t="s">
        <v>9</v>
      </c>
      <c r="E108" s="156"/>
      <c r="F108" s="156"/>
      <c r="G108" s="157"/>
      <c r="H108" s="145"/>
      <c r="I108" s="146"/>
      <c r="J108" s="46"/>
      <c r="K108" s="145"/>
      <c r="L108" s="146"/>
    </row>
    <row r="109" spans="2:13" ht="14.4" customHeight="1" x14ac:dyDescent="0.3">
      <c r="B109" s="111" t="s">
        <v>10</v>
      </c>
      <c r="C109" s="113" t="s">
        <v>11</v>
      </c>
      <c r="D109" s="44" t="s">
        <v>12</v>
      </c>
      <c r="E109" s="44" t="s">
        <v>13</v>
      </c>
      <c r="F109" s="44" t="s">
        <v>14</v>
      </c>
      <c r="G109" s="44" t="s">
        <v>15</v>
      </c>
      <c r="H109" s="139" t="s">
        <v>16</v>
      </c>
      <c r="I109" s="141" t="s">
        <v>17</v>
      </c>
      <c r="J109" s="47"/>
      <c r="K109" s="139" t="s">
        <v>18</v>
      </c>
      <c r="L109" s="141" t="s">
        <v>19</v>
      </c>
    </row>
    <row r="110" spans="2:13" ht="39.6" customHeight="1" x14ac:dyDescent="0.3">
      <c r="B110" s="112"/>
      <c r="C110" s="114"/>
      <c r="D110" s="147" t="s">
        <v>20</v>
      </c>
      <c r="E110" s="148"/>
      <c r="F110" s="148"/>
      <c r="G110" s="149"/>
      <c r="H110" s="140"/>
      <c r="I110" s="142"/>
      <c r="J110" s="47"/>
      <c r="K110" s="140"/>
      <c r="L110" s="142"/>
    </row>
    <row r="111" spans="2:13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>
        <v>0</v>
      </c>
      <c r="I111" s="18">
        <v>0</v>
      </c>
      <c r="J111" s="38"/>
      <c r="K111" s="39">
        <f t="shared" ref="K111:K132" si="52">((G111-L111)/L111)*100</f>
        <v>-100</v>
      </c>
      <c r="L111" s="20">
        <f>685181.51/3</f>
        <v>228393.83666666667</v>
      </c>
    </row>
    <row r="112" spans="2:13" x14ac:dyDescent="0.3">
      <c r="B112" s="33">
        <v>5</v>
      </c>
      <c r="C112" s="31" t="s">
        <v>22</v>
      </c>
      <c r="D112" s="23">
        <v>596772.69999999995</v>
      </c>
      <c r="E112" s="23">
        <v>0</v>
      </c>
      <c r="F112" s="40">
        <f>+E112+D112</f>
        <v>596772.69999999995</v>
      </c>
      <c r="G112" s="23">
        <f>+G111+F112</f>
        <v>596772.69999999995</v>
      </c>
      <c r="H112" s="41">
        <f t="shared" ref="H112:H132" si="53">((G112-I112)/I112)*100</f>
        <v>65.242254621055423</v>
      </c>
      <c r="I112" s="23">
        <v>361150.18</v>
      </c>
      <c r="J112" s="38"/>
      <c r="K112" s="41">
        <f t="shared" si="52"/>
        <v>-31.549397839415278</v>
      </c>
      <c r="L112" s="23">
        <f>2615489.19/3</f>
        <v>871829.73</v>
      </c>
    </row>
    <row r="113" spans="2:14" x14ac:dyDescent="0.3">
      <c r="B113" s="33">
        <v>6</v>
      </c>
      <c r="C113" s="31" t="s">
        <v>23</v>
      </c>
      <c r="D113" s="23">
        <v>827033.16</v>
      </c>
      <c r="E113" s="23">
        <v>0</v>
      </c>
      <c r="F113" s="40">
        <f>+E113+D113</f>
        <v>827033.16</v>
      </c>
      <c r="G113" s="23">
        <f t="shared" ref="G113" si="54">+G112+F113</f>
        <v>1423805.8599999999</v>
      </c>
      <c r="H113" s="41">
        <f t="shared" si="53"/>
        <v>24.524711214144862</v>
      </c>
      <c r="I113" s="23">
        <f>+I112+782242.04</f>
        <v>1143392.22</v>
      </c>
      <c r="J113" s="38"/>
      <c r="K113" s="41">
        <f t="shared" si="52"/>
        <v>-12.073941291159628</v>
      </c>
      <c r="L113" s="23">
        <f>4857965.48/3</f>
        <v>1619321.8266666669</v>
      </c>
    </row>
    <row r="114" spans="2:14" x14ac:dyDescent="0.3">
      <c r="B114" s="33">
        <v>7</v>
      </c>
      <c r="C114" s="31" t="s">
        <v>24</v>
      </c>
      <c r="D114" s="23">
        <v>573656.71</v>
      </c>
      <c r="E114" s="23">
        <f>+[1]Thompsons!E86+[1]Flame!E86+'[1]SA Sultana'!E86+'[1]OR Sultana'!E86+[1]Goldens!E86+[1]Currants!E86+[1]Other!E86</f>
        <v>841299</v>
      </c>
      <c r="F114" s="40">
        <f t="shared" ref="F114:F126" si="55">+E114+D114</f>
        <v>1414955.71</v>
      </c>
      <c r="G114" s="23">
        <f>+G113+F114</f>
        <v>2838761.57</v>
      </c>
      <c r="H114" s="41">
        <f t="shared" si="53"/>
        <v>41.957435106063876</v>
      </c>
      <c r="I114" s="23">
        <f>+I113+856335.07</f>
        <v>1999727.29</v>
      </c>
      <c r="J114" s="38"/>
      <c r="K114" s="41">
        <f t="shared" si="52"/>
        <v>6.236940955614438</v>
      </c>
      <c r="L114" s="23">
        <f>8016312.06/3</f>
        <v>2672104.02</v>
      </c>
      <c r="N114" s="32"/>
    </row>
    <row r="115" spans="2:14" x14ac:dyDescent="0.3">
      <c r="B115" s="33">
        <v>8</v>
      </c>
      <c r="C115" s="31" t="s">
        <v>25</v>
      </c>
      <c r="D115" s="23">
        <v>1177667.52</v>
      </c>
      <c r="E115" s="23">
        <v>0</v>
      </c>
      <c r="F115" s="40">
        <f t="shared" si="55"/>
        <v>1177667.52</v>
      </c>
      <c r="G115" s="23">
        <f t="shared" ref="G115:G126" si="56">+G114+F115</f>
        <v>4016429.09</v>
      </c>
      <c r="H115" s="41">
        <f t="shared" si="53"/>
        <v>6.9478655325499741</v>
      </c>
      <c r="I115" s="23">
        <v>3755501.87</v>
      </c>
      <c r="J115" s="38"/>
      <c r="K115" s="41">
        <f t="shared" si="52"/>
        <v>2.4628347165498843</v>
      </c>
      <c r="L115" s="23">
        <f>11759666.13/3</f>
        <v>3919888.7100000004</v>
      </c>
    </row>
    <row r="116" spans="2:14" x14ac:dyDescent="0.3">
      <c r="B116" s="33">
        <v>9</v>
      </c>
      <c r="C116" s="31" t="s">
        <v>26</v>
      </c>
      <c r="D116" s="23">
        <v>1339953.24</v>
      </c>
      <c r="E116" s="23">
        <v>-3035</v>
      </c>
      <c r="F116" s="40">
        <f t="shared" si="55"/>
        <v>1336918.24</v>
      </c>
      <c r="G116" s="23">
        <f t="shared" si="56"/>
        <v>5353347.33</v>
      </c>
      <c r="H116" s="41">
        <f t="shared" si="53"/>
        <v>11.279724559039513</v>
      </c>
      <c r="I116" s="23">
        <v>4810712.24</v>
      </c>
      <c r="J116" s="38"/>
      <c r="K116" s="41">
        <f t="shared" si="52"/>
        <v>-1.1809340370922417</v>
      </c>
      <c r="L116" s="23">
        <f>16251967/3</f>
        <v>5417322.333333333</v>
      </c>
    </row>
    <row r="117" spans="2:14" x14ac:dyDescent="0.3">
      <c r="B117" s="33">
        <v>10</v>
      </c>
      <c r="C117" s="31" t="s">
        <v>55</v>
      </c>
      <c r="D117" s="23">
        <v>2024695.08</v>
      </c>
      <c r="E117" s="23">
        <v>0</v>
      </c>
      <c r="F117" s="40">
        <f t="shared" si="55"/>
        <v>2024695.08</v>
      </c>
      <c r="G117" s="23">
        <f t="shared" si="56"/>
        <v>7378042.4100000001</v>
      </c>
      <c r="H117" s="41">
        <f t="shared" si="53"/>
        <v>9.6182481319378006</v>
      </c>
      <c r="I117" s="23">
        <v>6730669.8799999999</v>
      </c>
      <c r="J117" s="38"/>
      <c r="K117" s="41">
        <f t="shared" si="52"/>
        <v>3.9999096680414583</v>
      </c>
      <c r="L117" s="23">
        <v>7094277.71</v>
      </c>
    </row>
    <row r="118" spans="2:14" x14ac:dyDescent="0.3">
      <c r="B118" s="33">
        <v>11</v>
      </c>
      <c r="C118" s="31" t="s">
        <v>56</v>
      </c>
      <c r="D118" s="23">
        <v>2284043.61</v>
      </c>
      <c r="E118" s="23">
        <v>0</v>
      </c>
      <c r="F118" s="40">
        <f t="shared" si="55"/>
        <v>2284043.61</v>
      </c>
      <c r="G118" s="23">
        <f t="shared" si="56"/>
        <v>9662086.0199999996</v>
      </c>
      <c r="H118" s="41">
        <f t="shared" si="53"/>
        <v>10.06428310902513</v>
      </c>
      <c r="I118" s="23">
        <f>+I117+2047914.55</f>
        <v>8778584.4299999997</v>
      </c>
      <c r="J118" s="38"/>
      <c r="K118" s="41">
        <f t="shared" si="52"/>
        <v>11.082516387255763</v>
      </c>
      <c r="L118" s="23">
        <v>8698115.9000000004</v>
      </c>
    </row>
    <row r="119" spans="2:14" x14ac:dyDescent="0.3">
      <c r="B119" s="33">
        <v>12</v>
      </c>
      <c r="C119" s="31" t="s">
        <v>71</v>
      </c>
      <c r="D119" s="23">
        <v>2531578.66</v>
      </c>
      <c r="E119" s="23">
        <v>0</v>
      </c>
      <c r="F119" s="40">
        <f t="shared" si="55"/>
        <v>2531578.66</v>
      </c>
      <c r="G119" s="23">
        <f t="shared" si="56"/>
        <v>12193664.68</v>
      </c>
      <c r="H119" s="41">
        <f t="shared" si="53"/>
        <v>12.263991714435464</v>
      </c>
      <c r="I119" s="23">
        <v>10861599.07</v>
      </c>
      <c r="J119" s="38"/>
      <c r="K119" s="41">
        <f t="shared" si="52"/>
        <v>20.52846715842751</v>
      </c>
      <c r="L119" s="23">
        <v>10116833.779999999</v>
      </c>
    </row>
    <row r="120" spans="2:14" x14ac:dyDescent="0.3">
      <c r="B120" s="33">
        <v>13</v>
      </c>
      <c r="C120" s="31" t="s">
        <v>57</v>
      </c>
      <c r="D120" s="23">
        <v>2051047.19</v>
      </c>
      <c r="E120" s="23">
        <v>12755</v>
      </c>
      <c r="F120" s="40">
        <f t="shared" si="55"/>
        <v>2063802.19</v>
      </c>
      <c r="G120" s="23">
        <f t="shared" si="56"/>
        <v>14257466.869999999</v>
      </c>
      <c r="H120" s="41">
        <f t="shared" si="53"/>
        <v>18.91649068847892</v>
      </c>
      <c r="I120" s="23">
        <v>11989478.32</v>
      </c>
      <c r="J120" s="38"/>
      <c r="K120" s="41">
        <f t="shared" si="52"/>
        <v>30.931597835279788</v>
      </c>
      <c r="L120" s="23">
        <v>10889248.359999999</v>
      </c>
    </row>
    <row r="121" spans="2:14" x14ac:dyDescent="0.3">
      <c r="B121" s="33">
        <v>14</v>
      </c>
      <c r="C121" s="49" t="s">
        <v>58</v>
      </c>
      <c r="D121" s="23">
        <v>419819.56</v>
      </c>
      <c r="E121" s="23">
        <v>0</v>
      </c>
      <c r="F121" s="40">
        <f t="shared" si="55"/>
        <v>419819.56</v>
      </c>
      <c r="G121" s="23">
        <f t="shared" si="56"/>
        <v>14677286.43</v>
      </c>
      <c r="H121" s="41">
        <f t="shared" si="53"/>
        <v>15.699849065054785</v>
      </c>
      <c r="I121" s="23">
        <f>+I120+696179.05</f>
        <v>12685657.370000001</v>
      </c>
      <c r="J121" s="38"/>
      <c r="K121" s="41">
        <f t="shared" si="52"/>
        <v>27.53003342101858</v>
      </c>
      <c r="L121" s="23">
        <v>11508886.210000001</v>
      </c>
    </row>
    <row r="122" spans="2:14" x14ac:dyDescent="0.3">
      <c r="B122" s="33">
        <v>15</v>
      </c>
      <c r="C122" s="31" t="s">
        <v>59</v>
      </c>
      <c r="D122" s="23">
        <v>594634.5</v>
      </c>
      <c r="E122" s="23">
        <v>0</v>
      </c>
      <c r="F122" s="40">
        <f t="shared" si="55"/>
        <v>594634.5</v>
      </c>
      <c r="G122" s="23">
        <f t="shared" si="56"/>
        <v>15271920.93</v>
      </c>
      <c r="H122" s="41">
        <f t="shared" si="53"/>
        <v>14.068459086904289</v>
      </c>
      <c r="I122" s="23">
        <f>+I121+702724.53</f>
        <v>13388381.9</v>
      </c>
      <c r="J122" s="38"/>
      <c r="K122" s="41">
        <f t="shared" si="52"/>
        <v>25.58454704014602</v>
      </c>
      <c r="L122" s="23">
        <v>12160668.880000001</v>
      </c>
    </row>
    <row r="123" spans="2:14" x14ac:dyDescent="0.3">
      <c r="B123" s="33">
        <v>16</v>
      </c>
      <c r="C123" s="31" t="s">
        <v>60</v>
      </c>
      <c r="D123" s="23">
        <v>673206.57</v>
      </c>
      <c r="E123" s="23">
        <v>0</v>
      </c>
      <c r="F123" s="40">
        <f t="shared" si="55"/>
        <v>673206.57</v>
      </c>
      <c r="G123" s="23">
        <f t="shared" si="56"/>
        <v>15945127.5</v>
      </c>
      <c r="H123" s="41">
        <f t="shared" si="53"/>
        <v>14.742106160805873</v>
      </c>
      <c r="I123" s="23">
        <v>13896491.91</v>
      </c>
      <c r="J123" s="38"/>
      <c r="K123" s="41">
        <f t="shared" si="52"/>
        <v>26.651122367989604</v>
      </c>
      <c r="L123" s="23">
        <v>12589803.550000001</v>
      </c>
    </row>
    <row r="124" spans="2:14" x14ac:dyDescent="0.3">
      <c r="B124" s="33">
        <v>17</v>
      </c>
      <c r="C124" s="31" t="s">
        <v>61</v>
      </c>
      <c r="D124" s="23">
        <v>399210.61</v>
      </c>
      <c r="E124" s="23">
        <v>0</v>
      </c>
      <c r="F124" s="40">
        <f t="shared" si="55"/>
        <v>399210.61</v>
      </c>
      <c r="G124" s="23">
        <f t="shared" si="56"/>
        <v>16344338.109999999</v>
      </c>
      <c r="H124" s="41">
        <f t="shared" si="53"/>
        <v>11.9108363160154</v>
      </c>
      <c r="I124" s="23">
        <f>+I123+708294.05</f>
        <v>14604785.960000001</v>
      </c>
      <c r="J124" s="38"/>
      <c r="K124" s="41">
        <f t="shared" si="52"/>
        <v>25.44529075402583</v>
      </c>
      <c r="L124" s="23">
        <v>13029056.74</v>
      </c>
    </row>
    <row r="125" spans="2:14" x14ac:dyDescent="0.3">
      <c r="B125" s="33">
        <v>18</v>
      </c>
      <c r="C125" s="31" t="s">
        <v>62</v>
      </c>
      <c r="D125" s="23">
        <v>257037.54</v>
      </c>
      <c r="E125" s="23">
        <v>0</v>
      </c>
      <c r="F125" s="40">
        <f t="shared" si="55"/>
        <v>257037.54</v>
      </c>
      <c r="G125" s="23">
        <f t="shared" si="56"/>
        <v>16601375.649999999</v>
      </c>
      <c r="H125" s="41">
        <f t="shared" si="53"/>
        <v>10.135695284820072</v>
      </c>
      <c r="I125" s="23">
        <f>+I124+468779.07</f>
        <v>15073565.030000001</v>
      </c>
      <c r="J125" s="38"/>
      <c r="K125" s="41">
        <f t="shared" si="52"/>
        <v>25.500389065837659</v>
      </c>
      <c r="L125" s="23">
        <v>13228146.76</v>
      </c>
    </row>
    <row r="126" spans="2:14" x14ac:dyDescent="0.3">
      <c r="B126" s="33">
        <v>19</v>
      </c>
      <c r="C126" s="31" t="s">
        <v>63</v>
      </c>
      <c r="D126" s="23">
        <v>247970.5</v>
      </c>
      <c r="E126" s="23">
        <v>0</v>
      </c>
      <c r="F126" s="40">
        <f t="shared" si="55"/>
        <v>247970.5</v>
      </c>
      <c r="G126" s="23">
        <f t="shared" si="56"/>
        <v>16849346.149999999</v>
      </c>
      <c r="H126" s="41">
        <f t="shared" si="53"/>
        <v>9.2046896094457633</v>
      </c>
      <c r="I126" s="23">
        <f>+I125+355576.53</f>
        <v>15429141.560000001</v>
      </c>
      <c r="J126" s="38"/>
      <c r="K126" s="41">
        <f t="shared" si="52"/>
        <v>25.694468465846438</v>
      </c>
      <c r="L126" s="23">
        <v>13405002.109999999</v>
      </c>
    </row>
    <row r="127" spans="2:14" x14ac:dyDescent="0.3">
      <c r="B127" s="33">
        <v>20</v>
      </c>
      <c r="C127" s="31" t="s">
        <v>64</v>
      </c>
      <c r="D127" s="23">
        <v>8332</v>
      </c>
      <c r="E127" s="23">
        <v>0</v>
      </c>
      <c r="F127" s="40">
        <f t="shared" ref="F127:F133" si="57">+E127+D127</f>
        <v>8332</v>
      </c>
      <c r="G127" s="23">
        <f t="shared" ref="G127:G133" si="58">+G126+F127</f>
        <v>16857678.149999999</v>
      </c>
      <c r="H127" s="41">
        <f t="shared" si="53"/>
        <v>7.9364899120930144</v>
      </c>
      <c r="I127" s="23">
        <f>+I126+189004.04</f>
        <v>15618145.6</v>
      </c>
      <c r="J127" s="38"/>
      <c r="K127" s="41">
        <f t="shared" si="52"/>
        <v>23.355556190077778</v>
      </c>
      <c r="L127" s="23">
        <v>13665925.289999999</v>
      </c>
    </row>
    <row r="128" spans="2:14" x14ac:dyDescent="0.3">
      <c r="B128" s="33">
        <v>21</v>
      </c>
      <c r="C128" s="31" t="s">
        <v>65</v>
      </c>
      <c r="D128" s="23">
        <v>8028.25</v>
      </c>
      <c r="E128" s="23">
        <v>0</v>
      </c>
      <c r="F128" s="40">
        <f t="shared" si="57"/>
        <v>8028.25</v>
      </c>
      <c r="G128" s="23">
        <f t="shared" si="58"/>
        <v>16865706.399999999</v>
      </c>
      <c r="H128" s="41">
        <f t="shared" si="53"/>
        <v>7.7092950571440433</v>
      </c>
      <c r="I128" s="23">
        <f>+I127+40397.51</f>
        <v>15658543.109999999</v>
      </c>
      <c r="J128" s="38"/>
      <c r="K128" s="41">
        <f t="shared" si="52"/>
        <v>21.577408598699432</v>
      </c>
      <c r="L128" s="23">
        <v>13872401.619999999</v>
      </c>
    </row>
    <row r="129" spans="2:15" x14ac:dyDescent="0.3">
      <c r="B129" s="33">
        <v>22</v>
      </c>
      <c r="C129" s="31" t="s">
        <v>75</v>
      </c>
      <c r="D129" s="23">
        <v>176011.51</v>
      </c>
      <c r="E129" s="23">
        <v>0</v>
      </c>
      <c r="F129" s="40">
        <f t="shared" si="57"/>
        <v>176011.51</v>
      </c>
      <c r="G129" s="23">
        <f t="shared" si="58"/>
        <v>17041717.91</v>
      </c>
      <c r="H129" s="41">
        <f t="shared" si="53"/>
        <v>8.6419206114411935</v>
      </c>
      <c r="I129" s="23">
        <f>+I128+27591.5</f>
        <v>15686134.609999999</v>
      </c>
      <c r="J129" s="38"/>
      <c r="K129" s="41">
        <f t="shared" si="52"/>
        <v>21.811145988124451</v>
      </c>
      <c r="L129" s="23">
        <v>13990277.960000001</v>
      </c>
    </row>
    <row r="130" spans="2:15" x14ac:dyDescent="0.3">
      <c r="B130" s="33">
        <v>23</v>
      </c>
      <c r="C130" s="31" t="s">
        <v>76</v>
      </c>
      <c r="D130" s="23">
        <v>24326.49</v>
      </c>
      <c r="E130" s="23">
        <f>+Thompsons!E130</f>
        <v>4968</v>
      </c>
      <c r="F130" s="40">
        <f t="shared" si="57"/>
        <v>29294.49</v>
      </c>
      <c r="G130" s="23">
        <f t="shared" si="58"/>
        <v>17071012.399999999</v>
      </c>
      <c r="H130" s="41">
        <f t="shared" si="53"/>
        <v>8.828674650778094</v>
      </c>
      <c r="I130" s="23">
        <f>+I129+0</f>
        <v>15686134.609999999</v>
      </c>
      <c r="J130" s="38"/>
      <c r="K130" s="41">
        <f t="shared" si="52"/>
        <v>22.02053775349005</v>
      </c>
      <c r="L130" s="23">
        <f>+L129+0</f>
        <v>13990277.960000001</v>
      </c>
    </row>
    <row r="131" spans="2:15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57"/>
        <v>0</v>
      </c>
      <c r="G131" s="23">
        <f t="shared" si="58"/>
        <v>17071012.399999999</v>
      </c>
      <c r="H131" s="41">
        <f t="shared" si="53"/>
        <v>6.8944708938023043</v>
      </c>
      <c r="I131" s="23">
        <f>+I130+283833.02</f>
        <v>15969967.629999999</v>
      </c>
      <c r="J131" s="38"/>
      <c r="K131" s="41">
        <f t="shared" si="52"/>
        <v>18.094781804089603</v>
      </c>
      <c r="L131" s="23">
        <v>14455348.609999999</v>
      </c>
    </row>
    <row r="132" spans="2:15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57"/>
        <v>0</v>
      </c>
      <c r="G132" s="23">
        <f t="shared" si="58"/>
        <v>17071012.399999999</v>
      </c>
      <c r="H132" s="41">
        <f t="shared" si="53"/>
        <v>6.8944708938023043</v>
      </c>
      <c r="I132" s="23">
        <f>+I131+0</f>
        <v>15969967.629999999</v>
      </c>
      <c r="J132" s="38"/>
      <c r="K132" s="41">
        <f t="shared" si="52"/>
        <v>18.094781804089603</v>
      </c>
      <c r="L132" s="23">
        <f>+L131+0</f>
        <v>14455348.609999999</v>
      </c>
    </row>
    <row r="133" spans="2:15" x14ac:dyDescent="0.3">
      <c r="B133" s="33">
        <v>26</v>
      </c>
      <c r="C133" s="67" t="s">
        <v>70</v>
      </c>
      <c r="D133" s="94">
        <v>0</v>
      </c>
      <c r="E133" s="95">
        <v>0</v>
      </c>
      <c r="F133" s="96">
        <f t="shared" si="57"/>
        <v>0</v>
      </c>
      <c r="G133" s="95">
        <f t="shared" si="58"/>
        <v>17071012.399999999</v>
      </c>
      <c r="H133" s="41">
        <f t="shared" ref="H133" si="59">((G133-I133)/I133)*100</f>
        <v>6.8944708938023043</v>
      </c>
      <c r="I133" s="23">
        <f>+I132+0</f>
        <v>15969967.629999999</v>
      </c>
      <c r="J133" s="38"/>
      <c r="K133" s="41">
        <f t="shared" ref="K133" si="60">((G133-L133)/L133)*100</f>
        <v>18.094781804089603</v>
      </c>
      <c r="L133" s="23">
        <f>+L132+0</f>
        <v>14455348.609999999</v>
      </c>
    </row>
    <row r="134" spans="2:15" x14ac:dyDescent="0.3">
      <c r="B134" s="33">
        <v>27</v>
      </c>
      <c r="C134" s="67" t="s">
        <v>79</v>
      </c>
      <c r="D134" s="102">
        <v>0</v>
      </c>
      <c r="E134" s="103">
        <v>0</v>
      </c>
      <c r="F134" s="104">
        <f t="shared" ref="F134:F140" si="61">+E134+D134</f>
        <v>0</v>
      </c>
      <c r="G134" s="103">
        <f t="shared" ref="G134:G135" si="62">+G133+F134</f>
        <v>17071012.399999999</v>
      </c>
      <c r="H134" s="41">
        <f t="shared" ref="H134:H135" si="63">((G134-I134)/I134)*100</f>
        <v>6.8944708938023043</v>
      </c>
      <c r="I134" s="23">
        <f>+I133+0</f>
        <v>15969967.629999999</v>
      </c>
      <c r="J134" s="38"/>
      <c r="K134" s="41">
        <f t="shared" ref="K134:K135" si="64">((G134-L134)/L134)*100</f>
        <v>18.094781804089603</v>
      </c>
      <c r="L134" s="23">
        <f>+L133+0</f>
        <v>14455348.609999999</v>
      </c>
    </row>
    <row r="135" spans="2:15" x14ac:dyDescent="0.3">
      <c r="B135" s="33">
        <v>28</v>
      </c>
      <c r="C135" s="67" t="s">
        <v>80</v>
      </c>
      <c r="D135" s="18">
        <v>0</v>
      </c>
      <c r="E135" s="18">
        <v>1123588</v>
      </c>
      <c r="F135" s="36">
        <f t="shared" si="61"/>
        <v>1123588</v>
      </c>
      <c r="G135" s="18">
        <f t="shared" si="62"/>
        <v>18194600.399999999</v>
      </c>
      <c r="H135" s="41">
        <f t="shared" si="63"/>
        <v>13.930101935967414</v>
      </c>
      <c r="I135" s="23">
        <f>+I134+0</f>
        <v>15969967.629999999</v>
      </c>
      <c r="J135" s="38"/>
      <c r="K135" s="41">
        <f t="shared" si="64"/>
        <v>25.867600228009991</v>
      </c>
      <c r="L135" s="23">
        <f>+L134+0</f>
        <v>14455348.609999999</v>
      </c>
      <c r="N135" s="32"/>
      <c r="O135" s="32"/>
    </row>
    <row r="136" spans="2:15" x14ac:dyDescent="0.3">
      <c r="B136" s="33">
        <v>29</v>
      </c>
      <c r="C136" s="67" t="s">
        <v>81</v>
      </c>
      <c r="D136" s="18">
        <v>0</v>
      </c>
      <c r="E136" s="18">
        <v>0</v>
      </c>
      <c r="F136" s="36">
        <f t="shared" si="61"/>
        <v>0</v>
      </c>
      <c r="G136" s="18">
        <f t="shared" ref="G136:G139" si="65">+G135+F136</f>
        <v>18194600.399999999</v>
      </c>
      <c r="H136" s="41">
        <f t="shared" ref="H136:H139" si="66">((G136-I136)/I136)*100</f>
        <v>13.930101935967414</v>
      </c>
      <c r="I136" s="23">
        <f t="shared" ref="I136:I139" si="67">+I135+0</f>
        <v>15969967.629999999</v>
      </c>
      <c r="J136" s="38"/>
      <c r="K136" s="41">
        <f t="shared" ref="K136:K139" si="68">((G136-L136)/L136)*100</f>
        <v>25.867600228009991</v>
      </c>
      <c r="L136" s="23">
        <f t="shared" ref="L136:L142" si="69">+L135+0</f>
        <v>14455348.609999999</v>
      </c>
      <c r="N136" s="32"/>
      <c r="O136" s="32"/>
    </row>
    <row r="137" spans="2:15" x14ac:dyDescent="0.3">
      <c r="B137" s="33">
        <v>30</v>
      </c>
      <c r="C137" s="67" t="s">
        <v>82</v>
      </c>
      <c r="D137" s="18">
        <v>0</v>
      </c>
      <c r="E137" s="18">
        <v>0</v>
      </c>
      <c r="F137" s="36">
        <f t="shared" si="61"/>
        <v>0</v>
      </c>
      <c r="G137" s="18">
        <f t="shared" si="65"/>
        <v>18194600.399999999</v>
      </c>
      <c r="H137" s="41">
        <f t="shared" si="66"/>
        <v>13.930101935967414</v>
      </c>
      <c r="I137" s="23">
        <f t="shared" si="67"/>
        <v>15969967.629999999</v>
      </c>
      <c r="J137" s="38"/>
      <c r="K137" s="41">
        <f t="shared" si="68"/>
        <v>25.867600228009991</v>
      </c>
      <c r="L137" s="23">
        <f t="shared" si="69"/>
        <v>14455348.609999999</v>
      </c>
      <c r="N137" s="32"/>
      <c r="O137" s="32"/>
    </row>
    <row r="138" spans="2:15" x14ac:dyDescent="0.3">
      <c r="B138" s="33">
        <v>31</v>
      </c>
      <c r="C138" s="67" t="s">
        <v>83</v>
      </c>
      <c r="D138" s="18">
        <v>0</v>
      </c>
      <c r="E138" s="18">
        <v>0</v>
      </c>
      <c r="F138" s="36">
        <f t="shared" si="61"/>
        <v>0</v>
      </c>
      <c r="G138" s="18">
        <f t="shared" si="65"/>
        <v>18194600.399999999</v>
      </c>
      <c r="H138" s="41">
        <f t="shared" si="66"/>
        <v>13.930101935967414</v>
      </c>
      <c r="I138" s="23">
        <f t="shared" si="67"/>
        <v>15969967.629999999</v>
      </c>
      <c r="J138" s="38"/>
      <c r="K138" s="41">
        <f t="shared" si="68"/>
        <v>25.867600228009991</v>
      </c>
      <c r="L138" s="23">
        <f t="shared" si="69"/>
        <v>14455348.609999999</v>
      </c>
      <c r="N138" s="32"/>
      <c r="O138" s="32"/>
    </row>
    <row r="139" spans="2:15" x14ac:dyDescent="0.3">
      <c r="B139" s="33">
        <v>32</v>
      </c>
      <c r="C139" s="67" t="s">
        <v>84</v>
      </c>
      <c r="D139" s="18">
        <v>0</v>
      </c>
      <c r="E139" s="18">
        <v>0</v>
      </c>
      <c r="F139" s="36">
        <f t="shared" si="61"/>
        <v>0</v>
      </c>
      <c r="G139" s="18">
        <f t="shared" si="65"/>
        <v>18194600.399999999</v>
      </c>
      <c r="H139" s="41">
        <f t="shared" si="66"/>
        <v>13.930101935967414</v>
      </c>
      <c r="I139" s="23">
        <f t="shared" si="67"/>
        <v>15969967.629999999</v>
      </c>
      <c r="J139" s="38"/>
      <c r="K139" s="41">
        <f t="shared" si="68"/>
        <v>25.867600228009991</v>
      </c>
      <c r="L139" s="23">
        <f t="shared" si="69"/>
        <v>14455348.609999999</v>
      </c>
      <c r="N139" s="32"/>
      <c r="O139" s="32"/>
    </row>
    <row r="140" spans="2:15" x14ac:dyDescent="0.3">
      <c r="B140" s="33">
        <v>33</v>
      </c>
      <c r="C140" s="67" t="s">
        <v>85</v>
      </c>
      <c r="D140" s="18">
        <v>0</v>
      </c>
      <c r="E140" s="18">
        <v>0</v>
      </c>
      <c r="F140" s="36">
        <f t="shared" si="61"/>
        <v>0</v>
      </c>
      <c r="G140" s="18">
        <f>+G139+F140</f>
        <v>18194600.399999999</v>
      </c>
      <c r="H140" s="41">
        <v>13.930101935967414</v>
      </c>
      <c r="I140" s="23">
        <v>15969967.629999999</v>
      </c>
      <c r="J140" s="38"/>
      <c r="K140" s="41">
        <f t="shared" ref="K140:K142" si="70">((G140-L140)/L140)*100</f>
        <v>25.867600228009991</v>
      </c>
      <c r="L140" s="23">
        <f t="shared" si="69"/>
        <v>14455348.609999999</v>
      </c>
      <c r="N140" s="32"/>
      <c r="O140" s="32"/>
    </row>
    <row r="141" spans="2:15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18194600.399999999</v>
      </c>
      <c r="H141" s="41">
        <f t="shared" ref="H141:H142" si="71">((G141-I141)/I141)*100</f>
        <v>13.930101935967414</v>
      </c>
      <c r="I141" s="23">
        <f t="shared" ref="I141:I142" si="72">+I140+0</f>
        <v>15969967.629999999</v>
      </c>
      <c r="J141" s="38"/>
      <c r="K141" s="41">
        <f t="shared" si="70"/>
        <v>25.867600228009991</v>
      </c>
      <c r="L141" s="23">
        <f t="shared" si="69"/>
        <v>14455348.609999999</v>
      </c>
      <c r="N141" s="32"/>
      <c r="O141" s="32"/>
    </row>
    <row r="142" spans="2:15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110">
        <f>+G141+F142</f>
        <v>18194600.399999999</v>
      </c>
      <c r="H142" s="41">
        <f t="shared" si="71"/>
        <v>13.930101935967414</v>
      </c>
      <c r="I142" s="23">
        <f t="shared" si="72"/>
        <v>15969967.629999999</v>
      </c>
      <c r="J142" s="38"/>
      <c r="K142" s="41">
        <f t="shared" si="70"/>
        <v>25.867600228009991</v>
      </c>
      <c r="L142" s="23">
        <f t="shared" si="69"/>
        <v>14455348.609999999</v>
      </c>
      <c r="N142" s="32"/>
      <c r="O142" s="32"/>
    </row>
    <row r="143" spans="2:15" hidden="1" x14ac:dyDescent="0.3">
      <c r="B143" s="33">
        <v>36</v>
      </c>
      <c r="C143" s="67"/>
      <c r="D143" s="18"/>
      <c r="E143" s="18"/>
      <c r="F143" s="36"/>
      <c r="G143" s="18"/>
      <c r="H143" s="41"/>
      <c r="I143" s="23"/>
      <c r="J143" s="38"/>
      <c r="K143" s="41"/>
      <c r="L143" s="23"/>
      <c r="N143" s="32"/>
      <c r="O143" s="32"/>
    </row>
    <row r="144" spans="2:15" hidden="1" x14ac:dyDescent="0.3">
      <c r="B144" s="33">
        <v>37</v>
      </c>
      <c r="C144" s="67"/>
      <c r="D144" s="18"/>
      <c r="E144" s="18"/>
      <c r="F144" s="36"/>
      <c r="G144" s="18"/>
      <c r="H144" s="41"/>
      <c r="I144" s="23"/>
      <c r="J144" s="38"/>
      <c r="K144" s="41"/>
      <c r="L144" s="23"/>
      <c r="N144" s="32"/>
      <c r="O144" s="32"/>
    </row>
    <row r="145" spans="2:15" hidden="1" x14ac:dyDescent="0.3">
      <c r="B145" s="33">
        <v>38</v>
      </c>
      <c r="C145" s="67"/>
      <c r="D145" s="18"/>
      <c r="E145" s="18"/>
      <c r="F145" s="36"/>
      <c r="G145" s="18"/>
      <c r="H145" s="41"/>
      <c r="I145" s="23"/>
      <c r="J145" s="38"/>
      <c r="K145" s="41"/>
      <c r="L145" s="23"/>
      <c r="N145" s="32"/>
      <c r="O145" s="32"/>
    </row>
    <row r="146" spans="2:15" hidden="1" x14ac:dyDescent="0.3">
      <c r="B146" s="33">
        <v>39</v>
      </c>
      <c r="C146" s="67"/>
      <c r="D146" s="18"/>
      <c r="E146" s="18"/>
      <c r="F146" s="36"/>
      <c r="G146" s="18"/>
      <c r="H146" s="41"/>
      <c r="I146" s="23"/>
      <c r="J146" s="38"/>
      <c r="K146" s="41"/>
      <c r="L146" s="23"/>
      <c r="N146" s="32"/>
      <c r="O146" s="32"/>
    </row>
    <row r="147" spans="2:15" hidden="1" x14ac:dyDescent="0.3">
      <c r="B147" s="33">
        <v>40</v>
      </c>
      <c r="C147" s="67"/>
      <c r="D147" s="18"/>
      <c r="E147" s="18"/>
      <c r="F147" s="36"/>
      <c r="G147" s="18"/>
      <c r="H147" s="41"/>
      <c r="I147" s="23"/>
      <c r="J147" s="38"/>
      <c r="K147" s="41"/>
      <c r="L147" s="23"/>
      <c r="N147" s="32"/>
      <c r="O147" s="32"/>
    </row>
    <row r="148" spans="2:15" x14ac:dyDescent="0.3">
      <c r="B148" s="5"/>
      <c r="C148" s="5"/>
      <c r="D148" s="6"/>
      <c r="E148" s="6"/>
      <c r="F148" s="6"/>
      <c r="G148" s="6"/>
      <c r="H148" s="6"/>
      <c r="I148" s="6"/>
      <c r="J148" s="6"/>
    </row>
    <row r="149" spans="2:15" x14ac:dyDescent="0.3">
      <c r="B149" s="8" t="s">
        <v>27</v>
      </c>
      <c r="C149" s="5"/>
      <c r="D149" s="6"/>
      <c r="E149" s="6"/>
      <c r="F149" s="6"/>
      <c r="G149" s="6"/>
      <c r="H149" s="6"/>
      <c r="I149" s="6"/>
      <c r="J149" s="6"/>
    </row>
    <row r="150" spans="2:15" x14ac:dyDescent="0.3">
      <c r="B150" s="9" t="s">
        <v>28</v>
      </c>
      <c r="C150" s="5"/>
      <c r="D150" s="6"/>
      <c r="E150" s="6"/>
      <c r="F150" s="6"/>
      <c r="G150" s="6"/>
      <c r="H150" s="6"/>
      <c r="I150" s="6"/>
      <c r="J150" s="6"/>
    </row>
    <row r="151" spans="2:15" x14ac:dyDescent="0.3">
      <c r="B151" s="9" t="s">
        <v>29</v>
      </c>
      <c r="C151" s="5"/>
      <c r="D151" s="6"/>
      <c r="E151" s="6"/>
      <c r="F151" s="6"/>
      <c r="G151" s="6"/>
      <c r="H151" s="6"/>
      <c r="I151" s="6"/>
      <c r="J151" s="6"/>
    </row>
    <row r="152" spans="2:15" x14ac:dyDescent="0.3">
      <c r="B152" s="9" t="s">
        <v>30</v>
      </c>
      <c r="C152" s="5"/>
      <c r="D152" s="6"/>
      <c r="E152" s="6"/>
      <c r="F152" s="6"/>
      <c r="G152" s="6"/>
      <c r="H152" s="6"/>
      <c r="I152" s="6"/>
      <c r="J152" s="6"/>
    </row>
    <row r="155" spans="2:15" ht="18" x14ac:dyDescent="0.35">
      <c r="B155" s="10"/>
      <c r="C155" s="10"/>
      <c r="D155" s="150" t="s">
        <v>34</v>
      </c>
      <c r="E155" s="150"/>
      <c r="F155" s="150"/>
      <c r="G155" s="150"/>
      <c r="H155" s="150"/>
      <c r="I155" s="150"/>
      <c r="J155" s="35"/>
    </row>
    <row r="156" spans="2:15" s="28" customFormat="1" ht="21" customHeight="1" x14ac:dyDescent="0.4">
      <c r="B156" s="24"/>
      <c r="C156" s="24"/>
      <c r="D156" s="151" t="s">
        <v>32</v>
      </c>
      <c r="E156" s="151"/>
      <c r="F156" s="151"/>
      <c r="G156" s="151"/>
      <c r="H156" s="151"/>
      <c r="I156" s="151"/>
      <c r="J156" s="45"/>
      <c r="K156" s="48"/>
      <c r="L156" s="48"/>
    </row>
    <row r="157" spans="2:15" ht="15.9" customHeight="1" x14ac:dyDescent="0.3">
      <c r="B157" s="132" t="s">
        <v>88</v>
      </c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</row>
    <row r="158" spans="2:15" ht="14.4" customHeight="1" x14ac:dyDescent="0.3">
      <c r="B158" s="14"/>
      <c r="C158" s="15"/>
      <c r="D158" s="152" t="s">
        <v>6</v>
      </c>
      <c r="E158" s="153"/>
      <c r="F158" s="153"/>
      <c r="G158" s="154"/>
      <c r="H158" s="143" t="s">
        <v>7</v>
      </c>
      <c r="I158" s="144"/>
      <c r="J158" s="46"/>
      <c r="K158" s="143" t="s">
        <v>8</v>
      </c>
      <c r="L158" s="144"/>
    </row>
    <row r="159" spans="2:15" ht="14.4" customHeight="1" x14ac:dyDescent="0.3">
      <c r="B159" s="12"/>
      <c r="C159" s="13"/>
      <c r="D159" s="155" t="s">
        <v>9</v>
      </c>
      <c r="E159" s="156"/>
      <c r="F159" s="156"/>
      <c r="G159" s="157"/>
      <c r="H159" s="145"/>
      <c r="I159" s="146"/>
      <c r="J159" s="46"/>
      <c r="K159" s="145"/>
      <c r="L159" s="146"/>
    </row>
    <row r="160" spans="2:15" ht="13.95" customHeight="1" x14ac:dyDescent="0.3">
      <c r="B160" s="111" t="s">
        <v>10</v>
      </c>
      <c r="C160" s="113" t="s">
        <v>11</v>
      </c>
      <c r="D160" s="44" t="s">
        <v>12</v>
      </c>
      <c r="E160" s="44" t="s">
        <v>13</v>
      </c>
      <c r="F160" s="44" t="s">
        <v>14</v>
      </c>
      <c r="G160" s="44" t="s">
        <v>15</v>
      </c>
      <c r="H160" s="139" t="s">
        <v>16</v>
      </c>
      <c r="I160" s="141" t="s">
        <v>17</v>
      </c>
      <c r="J160" s="47"/>
      <c r="K160" s="139" t="s">
        <v>18</v>
      </c>
      <c r="L160" s="141" t="s">
        <v>19</v>
      </c>
    </row>
    <row r="161" spans="2:14" ht="40.65" customHeight="1" x14ac:dyDescent="0.3">
      <c r="B161" s="112"/>
      <c r="C161" s="114"/>
      <c r="D161" s="147" t="s">
        <v>20</v>
      </c>
      <c r="E161" s="148"/>
      <c r="F161" s="148"/>
      <c r="G161" s="149"/>
      <c r="H161" s="140"/>
      <c r="I161" s="142"/>
      <c r="J161" s="47"/>
      <c r="K161" s="140"/>
      <c r="L161" s="142"/>
    </row>
    <row r="162" spans="2:14" x14ac:dyDescent="0.3">
      <c r="B162" s="33">
        <v>4</v>
      </c>
      <c r="C162" s="31" t="s">
        <v>21</v>
      </c>
      <c r="D162" s="18">
        <v>195414.01</v>
      </c>
      <c r="E162" s="18">
        <v>0</v>
      </c>
      <c r="F162" s="36">
        <f>+D162+E162</f>
        <v>195414.01</v>
      </c>
      <c r="G162" s="18">
        <f>+F162</f>
        <v>195414.01</v>
      </c>
      <c r="H162" s="37">
        <v>0</v>
      </c>
      <c r="I162" s="18">
        <v>0</v>
      </c>
      <c r="J162" s="38"/>
      <c r="K162" s="39">
        <f t="shared" ref="K162:K182" si="73">((G162-L162)/L162)*100</f>
        <v>25.491162497863151</v>
      </c>
      <c r="L162" s="20">
        <f>467158.02/3</f>
        <v>155719.34</v>
      </c>
    </row>
    <row r="163" spans="2:14" x14ac:dyDescent="0.3">
      <c r="B163" s="33">
        <v>5</v>
      </c>
      <c r="C163" s="31" t="s">
        <v>22</v>
      </c>
      <c r="D163" s="23">
        <v>213874.7</v>
      </c>
      <c r="E163" s="23">
        <v>0</v>
      </c>
      <c r="F163" s="40">
        <f>+E163+D163</f>
        <v>213874.7</v>
      </c>
      <c r="G163" s="23">
        <f>+G162+F163</f>
        <v>409288.71</v>
      </c>
      <c r="H163" s="41">
        <f t="shared" ref="H163:H173" si="74">((G163-I163)/I163)*100</f>
        <v>-30.407918107260794</v>
      </c>
      <c r="I163" s="23">
        <f>+I162+588125.4</f>
        <v>588125.4</v>
      </c>
      <c r="J163" s="38"/>
      <c r="K163" s="41">
        <f t="shared" si="73"/>
        <v>-25.457529101050547</v>
      </c>
      <c r="L163" s="23">
        <f>1647203.42/3</f>
        <v>549067.80666666664</v>
      </c>
    </row>
    <row r="164" spans="2:14" x14ac:dyDescent="0.3">
      <c r="B164" s="33">
        <v>6</v>
      </c>
      <c r="C164" s="31" t="s">
        <v>23</v>
      </c>
      <c r="D164" s="23">
        <v>245270.22</v>
      </c>
      <c r="E164" s="23">
        <v>0</v>
      </c>
      <c r="F164" s="40">
        <f>+E164+D164</f>
        <v>245270.22</v>
      </c>
      <c r="G164" s="23">
        <f t="shared" ref="G164" si="75">+G163+F164</f>
        <v>654558.93000000005</v>
      </c>
      <c r="H164" s="41">
        <f t="shared" si="74"/>
        <v>-22.412363764613357</v>
      </c>
      <c r="I164" s="23">
        <f>+I163+255512.79</f>
        <v>843638.19000000006</v>
      </c>
      <c r="J164" s="38"/>
      <c r="K164" s="41">
        <f t="shared" si="73"/>
        <v>-16.304043907612726</v>
      </c>
      <c r="L164" s="23">
        <f>2346202.71/3</f>
        <v>782067.57</v>
      </c>
    </row>
    <row r="165" spans="2:14" x14ac:dyDescent="0.3">
      <c r="B165" s="33">
        <v>7</v>
      </c>
      <c r="C165" s="31" t="s">
        <v>24</v>
      </c>
      <c r="D165" s="23">
        <v>199584.66</v>
      </c>
      <c r="E165" s="23">
        <f>+[1]Thompsons!E123+[1]Flame!E123+'[1]SA Sultana'!E123+'[1]OR Sultana'!E123+[1]Goldens!E123+[1]Currants!E123+[1]Other!E123</f>
        <v>0</v>
      </c>
      <c r="F165" s="40">
        <f t="shared" ref="F165:F177" si="76">+E165+D165</f>
        <v>199584.66</v>
      </c>
      <c r="G165" s="23">
        <f>+G164+F165</f>
        <v>854143.59000000008</v>
      </c>
      <c r="H165" s="41">
        <f t="shared" si="74"/>
        <v>-17.730536053607395</v>
      </c>
      <c r="I165" s="23">
        <f>+I164+194588.57</f>
        <v>1038226.76</v>
      </c>
      <c r="J165" s="38"/>
      <c r="K165" s="41">
        <f t="shared" si="73"/>
        <v>-11.575121088073416</v>
      </c>
      <c r="L165" s="23">
        <f>2897861.78/3</f>
        <v>965953.92666666664</v>
      </c>
      <c r="N165" s="32"/>
    </row>
    <row r="166" spans="2:14" x14ac:dyDescent="0.3">
      <c r="B166" s="33">
        <v>8</v>
      </c>
      <c r="C166" s="31" t="s">
        <v>25</v>
      </c>
      <c r="D166" s="23">
        <v>326755.93</v>
      </c>
      <c r="E166" s="23">
        <v>0</v>
      </c>
      <c r="F166" s="40">
        <f t="shared" si="76"/>
        <v>326755.93</v>
      </c>
      <c r="G166" s="23">
        <f t="shared" ref="G166:G177" si="77">+G165+F166</f>
        <v>1180899.52</v>
      </c>
      <c r="H166" s="41">
        <f t="shared" si="74"/>
        <v>-2.9438524739382803</v>
      </c>
      <c r="I166" s="23">
        <v>1216717.8999999999</v>
      </c>
      <c r="J166" s="38"/>
      <c r="K166" s="41">
        <f t="shared" si="73"/>
        <v>-7.6929448112940833</v>
      </c>
      <c r="L166" s="23">
        <f>3837949.93/3</f>
        <v>1279316.6433333333</v>
      </c>
    </row>
    <row r="167" spans="2:14" x14ac:dyDescent="0.3">
      <c r="B167" s="33">
        <v>9</v>
      </c>
      <c r="C167" s="31" t="s">
        <v>26</v>
      </c>
      <c r="D167" s="23">
        <v>288384.67</v>
      </c>
      <c r="E167" s="23">
        <v>0</v>
      </c>
      <c r="F167" s="40">
        <f t="shared" si="76"/>
        <v>288384.67</v>
      </c>
      <c r="G167" s="23">
        <f t="shared" si="77"/>
        <v>1469284.19</v>
      </c>
      <c r="H167" s="41">
        <f t="shared" si="74"/>
        <v>-0.81890056625639529</v>
      </c>
      <c r="I167" s="23">
        <v>1481415.51</v>
      </c>
      <c r="J167" s="38"/>
      <c r="K167" s="41">
        <f t="shared" si="73"/>
        <v>-1.868533481082836</v>
      </c>
      <c r="L167" s="23">
        <f>4491783.04/3</f>
        <v>1497261.0133333334</v>
      </c>
    </row>
    <row r="168" spans="2:14" x14ac:dyDescent="0.3">
      <c r="B168" s="33">
        <v>10</v>
      </c>
      <c r="C168" s="31" t="s">
        <v>55</v>
      </c>
      <c r="D168" s="23">
        <v>80303.12</v>
      </c>
      <c r="E168" s="23">
        <v>0</v>
      </c>
      <c r="F168" s="40">
        <f t="shared" si="76"/>
        <v>80303.12</v>
      </c>
      <c r="G168" s="23">
        <f t="shared" si="77"/>
        <v>1549587.31</v>
      </c>
      <c r="H168" s="41">
        <f t="shared" si="74"/>
        <v>-6.8811964157620391</v>
      </c>
      <c r="I168" s="23">
        <v>1664097.1</v>
      </c>
      <c r="J168" s="38"/>
      <c r="K168" s="41">
        <f t="shared" si="73"/>
        <v>-9.8398176273118008</v>
      </c>
      <c r="L168" s="23">
        <v>1718704.72</v>
      </c>
    </row>
    <row r="169" spans="2:14" x14ac:dyDescent="0.3">
      <c r="B169" s="33">
        <v>11</v>
      </c>
      <c r="C169" s="31" t="s">
        <v>56</v>
      </c>
      <c r="D169" s="23">
        <v>227744.17</v>
      </c>
      <c r="E169" s="23">
        <v>0</v>
      </c>
      <c r="F169" s="40">
        <f>+E169+D169</f>
        <v>227744.17</v>
      </c>
      <c r="G169" s="23">
        <f>+G168+F169</f>
        <v>1777331.48</v>
      </c>
      <c r="H169" s="41">
        <f t="shared" si="74"/>
        <v>2.9757363322757233</v>
      </c>
      <c r="I169" s="23">
        <f>+I168+61874.03</f>
        <v>1725971.1300000001</v>
      </c>
      <c r="J169" s="38"/>
      <c r="K169" s="41">
        <f t="shared" si="73"/>
        <v>-6.7913670815364133</v>
      </c>
      <c r="L169" s="23">
        <v>1906831.4</v>
      </c>
    </row>
    <row r="170" spans="2:14" x14ac:dyDescent="0.3">
      <c r="B170" s="33">
        <v>12</v>
      </c>
      <c r="C170" s="31" t="s">
        <v>71</v>
      </c>
      <c r="D170" s="23">
        <v>52749</v>
      </c>
      <c r="E170" s="23">
        <v>0</v>
      </c>
      <c r="F170" s="40">
        <f t="shared" si="76"/>
        <v>52749</v>
      </c>
      <c r="G170" s="23">
        <f>+G169+F170</f>
        <v>1830080.48</v>
      </c>
      <c r="H170" s="41">
        <f t="shared" si="74"/>
        <v>-4.4647615237315312</v>
      </c>
      <c r="I170" s="23">
        <v>1915607.8</v>
      </c>
      <c r="J170" s="38"/>
      <c r="K170" s="41">
        <f t="shared" si="73"/>
        <v>-14.4486860447672</v>
      </c>
      <c r="L170" s="23">
        <v>2139161.16</v>
      </c>
    </row>
    <row r="171" spans="2:14" x14ac:dyDescent="0.3">
      <c r="B171" s="33">
        <v>13</v>
      </c>
      <c r="C171" s="31" t="s">
        <v>57</v>
      </c>
      <c r="D171" s="23">
        <v>47617.97</v>
      </c>
      <c r="E171" s="23">
        <v>0</v>
      </c>
      <c r="F171" s="40">
        <f t="shared" si="76"/>
        <v>47617.97</v>
      </c>
      <c r="G171" s="23">
        <f t="shared" si="77"/>
        <v>1877698.45</v>
      </c>
      <c r="H171" s="41">
        <f t="shared" si="74"/>
        <v>-1.9789826519830804</v>
      </c>
      <c r="I171" s="23">
        <v>1915608</v>
      </c>
      <c r="J171" s="38"/>
      <c r="K171" s="41">
        <f t="shared" si="73"/>
        <v>-16.377114895409409</v>
      </c>
      <c r="L171" s="23">
        <v>2245436.1</v>
      </c>
    </row>
    <row r="172" spans="2:14" x14ac:dyDescent="0.3">
      <c r="B172" s="33">
        <v>14</v>
      </c>
      <c r="C172" s="49" t="s">
        <v>58</v>
      </c>
      <c r="D172" s="23">
        <v>76423.539999999994</v>
      </c>
      <c r="E172" s="23">
        <v>0</v>
      </c>
      <c r="F172" s="40">
        <f t="shared" si="76"/>
        <v>76423.539999999994</v>
      </c>
      <c r="G172" s="23">
        <f t="shared" si="77"/>
        <v>1954121.99</v>
      </c>
      <c r="H172" s="41">
        <f t="shared" si="74"/>
        <v>2.0105360804506969</v>
      </c>
      <c r="I172" s="23">
        <f>+I171+0</f>
        <v>1915608</v>
      </c>
      <c r="J172" s="38"/>
      <c r="K172" s="41">
        <f t="shared" si="73"/>
        <v>-15.441162283087506</v>
      </c>
      <c r="L172" s="23">
        <v>2310961.27</v>
      </c>
    </row>
    <row r="173" spans="2:14" x14ac:dyDescent="0.3">
      <c r="B173" s="33">
        <v>15</v>
      </c>
      <c r="C173" s="31" t="s">
        <v>59</v>
      </c>
      <c r="D173" s="23">
        <v>27232.09</v>
      </c>
      <c r="E173" s="23">
        <v>0</v>
      </c>
      <c r="F173" s="40">
        <f t="shared" si="76"/>
        <v>27232.09</v>
      </c>
      <c r="G173" s="23">
        <f t="shared" si="77"/>
        <v>1981354.08</v>
      </c>
      <c r="H173" s="41">
        <f t="shared" si="74"/>
        <v>3.4321259881980066</v>
      </c>
      <c r="I173" s="23">
        <f>+I172+0</f>
        <v>1915608</v>
      </c>
      <c r="J173" s="38"/>
      <c r="K173" s="41">
        <f t="shared" si="73"/>
        <v>-14.433471827729369</v>
      </c>
      <c r="L173" s="23">
        <v>2315571.4300000002</v>
      </c>
    </row>
    <row r="174" spans="2:14" x14ac:dyDescent="0.3">
      <c r="B174" s="33">
        <v>16</v>
      </c>
      <c r="C174" s="31" t="s">
        <v>60</v>
      </c>
      <c r="D174" s="23">
        <v>20678</v>
      </c>
      <c r="E174" s="23">
        <v>0</v>
      </c>
      <c r="F174" s="40">
        <f t="shared" si="76"/>
        <v>20678</v>
      </c>
      <c r="G174" s="23">
        <f t="shared" si="77"/>
        <v>2002032.08</v>
      </c>
      <c r="H174" s="41">
        <v>0</v>
      </c>
      <c r="I174" s="23">
        <v>1923143.31</v>
      </c>
      <c r="J174" s="38"/>
      <c r="K174" s="41">
        <f t="shared" si="73"/>
        <v>-13.950665380216776</v>
      </c>
      <c r="L174" s="23">
        <v>2326609.6</v>
      </c>
    </row>
    <row r="175" spans="2:14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76"/>
        <v>0</v>
      </c>
      <c r="G175" s="23">
        <f t="shared" si="77"/>
        <v>2002032.08</v>
      </c>
      <c r="H175" s="41">
        <f t="shared" ref="H175:H182" si="78">((G175-I175)/I175)*100</f>
        <v>3.4164732322319376</v>
      </c>
      <c r="I175" s="23">
        <f>+I174+12749.51</f>
        <v>1935892.82</v>
      </c>
      <c r="J175" s="38"/>
      <c r="K175" s="41">
        <f t="shared" si="73"/>
        <v>-14.107558540724355</v>
      </c>
      <c r="L175" s="23">
        <v>2330859.44</v>
      </c>
    </row>
    <row r="176" spans="2:14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76"/>
        <v>0</v>
      </c>
      <c r="G176" s="23">
        <f t="shared" si="77"/>
        <v>2002032.08</v>
      </c>
      <c r="H176" s="41">
        <f t="shared" si="78"/>
        <v>3.4164732322319376</v>
      </c>
      <c r="I176" s="23">
        <f>+I175+0</f>
        <v>1935892.82</v>
      </c>
      <c r="J176" s="38"/>
      <c r="K176" s="41">
        <f t="shared" si="73"/>
        <v>-14.293805911826915</v>
      </c>
      <c r="L176" s="23">
        <v>2335924.61</v>
      </c>
    </row>
    <row r="177" spans="2:15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76"/>
        <v>0</v>
      </c>
      <c r="G177" s="23">
        <f t="shared" si="77"/>
        <v>2002032.08</v>
      </c>
      <c r="H177" s="41">
        <f t="shared" si="78"/>
        <v>2.4369707666813158</v>
      </c>
      <c r="I177" s="23">
        <f>+I176+18511.01</f>
        <v>1954403.83</v>
      </c>
      <c r="J177" s="38"/>
      <c r="K177" s="41">
        <f t="shared" si="73"/>
        <v>-14.519601839881002</v>
      </c>
      <c r="L177" s="23">
        <v>2342094.94</v>
      </c>
    </row>
    <row r="178" spans="2:15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4" si="79">+E178+D178</f>
        <v>0</v>
      </c>
      <c r="G178" s="23">
        <f t="shared" ref="G178:G184" si="80">+G177+F178</f>
        <v>2002032.08</v>
      </c>
      <c r="H178" s="41">
        <f t="shared" si="78"/>
        <v>1.3076805480777116</v>
      </c>
      <c r="I178" s="23">
        <f>+I177+21786</f>
        <v>1976189.83</v>
      </c>
      <c r="J178" s="38"/>
      <c r="K178" s="41">
        <f t="shared" si="73"/>
        <v>-14.783826760696478</v>
      </c>
      <c r="L178" s="23">
        <v>2349356.94</v>
      </c>
    </row>
    <row r="179" spans="2:15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79"/>
        <v>0</v>
      </c>
      <c r="G179" s="23">
        <f t="shared" si="80"/>
        <v>2002032.08</v>
      </c>
      <c r="H179" s="41">
        <f>((G179-I179)/I179)*100</f>
        <v>9.9159078039517956E-2</v>
      </c>
      <c r="I179" s="23">
        <f>+I178+23859.02</f>
        <v>2000048.85</v>
      </c>
      <c r="J179" s="38"/>
      <c r="K179" s="41">
        <f t="shared" si="73"/>
        <v>-15.071322507730581</v>
      </c>
      <c r="L179" s="23">
        <v>2357309.85</v>
      </c>
    </row>
    <row r="180" spans="2:15" x14ac:dyDescent="0.3">
      <c r="B180" s="33">
        <v>22</v>
      </c>
      <c r="C180" s="31" t="s">
        <v>75</v>
      </c>
      <c r="D180" s="23">
        <v>0</v>
      </c>
      <c r="E180" s="23">
        <v>0</v>
      </c>
      <c r="F180" s="40">
        <f t="shared" si="79"/>
        <v>0</v>
      </c>
      <c r="G180" s="23">
        <f t="shared" si="80"/>
        <v>2002032.08</v>
      </c>
      <c r="H180" s="41">
        <f t="shared" si="78"/>
        <v>9.9159078039517956E-2</v>
      </c>
      <c r="I180" s="23">
        <f t="shared" ref="I180:I185" si="81">+I179+0</f>
        <v>2000048.85</v>
      </c>
      <c r="J180" s="38"/>
      <c r="K180" s="41">
        <f t="shared" si="73"/>
        <v>-15.071326110509995</v>
      </c>
      <c r="L180" s="23">
        <v>2357309.9500000002</v>
      </c>
    </row>
    <row r="181" spans="2:15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79"/>
        <v>0</v>
      </c>
      <c r="G181" s="23">
        <f t="shared" si="80"/>
        <v>2002032.08</v>
      </c>
      <c r="H181" s="41">
        <f t="shared" si="78"/>
        <v>9.9159078039517956E-2</v>
      </c>
      <c r="I181" s="23">
        <f t="shared" si="81"/>
        <v>2000048.85</v>
      </c>
      <c r="J181" s="38"/>
      <c r="K181" s="41">
        <f t="shared" si="73"/>
        <v>-15.071326110509995</v>
      </c>
      <c r="L181" s="23">
        <f>+L180+0</f>
        <v>2357309.9500000002</v>
      </c>
    </row>
    <row r="182" spans="2:15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79"/>
        <v>0</v>
      </c>
      <c r="G182" s="23">
        <f>+G181+F182</f>
        <v>2002032.08</v>
      </c>
      <c r="H182" s="41">
        <f t="shared" si="78"/>
        <v>9.9159078039517956E-2</v>
      </c>
      <c r="I182" s="23">
        <f t="shared" si="81"/>
        <v>2000048.85</v>
      </c>
      <c r="J182" s="38"/>
      <c r="K182" s="41">
        <f t="shared" si="73"/>
        <v>-15.071326110509995</v>
      </c>
      <c r="L182" s="23">
        <v>2357309.9500000002</v>
      </c>
    </row>
    <row r="183" spans="2:15" x14ac:dyDescent="0.3">
      <c r="B183" s="33">
        <v>25</v>
      </c>
      <c r="C183" s="67" t="s">
        <v>69</v>
      </c>
      <c r="D183" s="23">
        <v>0</v>
      </c>
      <c r="E183" s="23">
        <v>0</v>
      </c>
      <c r="F183" s="40">
        <f t="shared" si="79"/>
        <v>0</v>
      </c>
      <c r="G183" s="23">
        <f t="shared" si="80"/>
        <v>2002032.08</v>
      </c>
      <c r="H183" s="41">
        <f t="shared" ref="H183" si="82">((G183-I183)/I183)*100</f>
        <v>9.9159078039517956E-2</v>
      </c>
      <c r="I183" s="23">
        <f t="shared" si="81"/>
        <v>2000048.85</v>
      </c>
      <c r="J183" s="38"/>
      <c r="K183" s="41">
        <f t="shared" ref="K183" si="83">((G183-L183)/L183)*100</f>
        <v>-15.071326110509995</v>
      </c>
      <c r="L183" s="23">
        <v>2357309.9500000002</v>
      </c>
    </row>
    <row r="184" spans="2:15" x14ac:dyDescent="0.3">
      <c r="B184" s="33">
        <v>26</v>
      </c>
      <c r="C184" s="67" t="s">
        <v>70</v>
      </c>
      <c r="D184" s="94">
        <v>0</v>
      </c>
      <c r="E184" s="95">
        <v>0</v>
      </c>
      <c r="F184" s="96">
        <f t="shared" si="79"/>
        <v>0</v>
      </c>
      <c r="G184" s="95">
        <f t="shared" si="80"/>
        <v>2002032.08</v>
      </c>
      <c r="H184" s="41">
        <f t="shared" ref="H184" si="84">((G184-I184)/I184)*100</f>
        <v>9.9159078039517956E-2</v>
      </c>
      <c r="I184" s="23">
        <f t="shared" si="81"/>
        <v>2000048.85</v>
      </c>
      <c r="J184" s="38"/>
      <c r="K184" s="41">
        <f t="shared" ref="K184" si="85">((G184-L184)/L184)*100</f>
        <v>-15.071326110509995</v>
      </c>
      <c r="L184" s="23">
        <v>2357309.9500000002</v>
      </c>
    </row>
    <row r="185" spans="2:15" x14ac:dyDescent="0.3">
      <c r="B185" s="33">
        <v>27</v>
      </c>
      <c r="C185" s="67" t="s">
        <v>79</v>
      </c>
      <c r="D185" s="102">
        <v>0</v>
      </c>
      <c r="E185" s="103">
        <v>0</v>
      </c>
      <c r="F185" s="104">
        <f t="shared" ref="F185:F186" si="86">+E185+D185</f>
        <v>0</v>
      </c>
      <c r="G185" s="103">
        <f t="shared" ref="G185:G186" si="87">+G184+F185</f>
        <v>2002032.08</v>
      </c>
      <c r="H185" s="41">
        <f t="shared" ref="H185:H186" si="88">((G185-I185)/I185)*100</f>
        <v>9.9159078039517956E-2</v>
      </c>
      <c r="I185" s="23">
        <f t="shared" si="81"/>
        <v>2000048.85</v>
      </c>
      <c r="J185" s="38"/>
      <c r="K185" s="41">
        <f t="shared" ref="K185:K186" si="89">((G185-L185)/L185)*100</f>
        <v>-15.071326110509995</v>
      </c>
      <c r="L185" s="23">
        <v>2357309.9500000002</v>
      </c>
    </row>
    <row r="186" spans="2:15" x14ac:dyDescent="0.3">
      <c r="B186" s="33">
        <v>28</v>
      </c>
      <c r="C186" s="67" t="s">
        <v>80</v>
      </c>
      <c r="D186" s="18">
        <v>0</v>
      </c>
      <c r="E186" s="18">
        <v>0</v>
      </c>
      <c r="F186" s="36">
        <f t="shared" si="86"/>
        <v>0</v>
      </c>
      <c r="G186" s="18">
        <f t="shared" si="87"/>
        <v>2002032.08</v>
      </c>
      <c r="H186" s="41">
        <f t="shared" si="88"/>
        <v>9.9159078039517956E-2</v>
      </c>
      <c r="I186" s="23">
        <f>+I185+0</f>
        <v>2000048.85</v>
      </c>
      <c r="J186" s="38"/>
      <c r="K186" s="41">
        <f t="shared" si="89"/>
        <v>-15.071326110509995</v>
      </c>
      <c r="L186" s="23">
        <f>+L185+0</f>
        <v>2357309.9500000002</v>
      </c>
      <c r="N186" s="32"/>
      <c r="O186" s="32"/>
    </row>
    <row r="187" spans="2:15" x14ac:dyDescent="0.3">
      <c r="B187" s="33">
        <v>29</v>
      </c>
      <c r="C187" s="67" t="s">
        <v>81</v>
      </c>
      <c r="D187" s="18">
        <v>0</v>
      </c>
      <c r="E187" s="18">
        <v>0</v>
      </c>
      <c r="F187" s="36">
        <f t="shared" ref="F187:F191" si="90">+E187+D187</f>
        <v>0</v>
      </c>
      <c r="G187" s="18">
        <f t="shared" ref="G187:G190" si="91">+G186+F187</f>
        <v>2002032.08</v>
      </c>
      <c r="H187" s="41">
        <f t="shared" ref="H187:H190" si="92">((G187-I187)/I187)*100</f>
        <v>9.9159078039517956E-2</v>
      </c>
      <c r="I187" s="23">
        <f t="shared" ref="I187:I193" si="93">+I186+0</f>
        <v>2000048.85</v>
      </c>
      <c r="J187" s="38"/>
      <c r="K187" s="41">
        <f t="shared" ref="K187:K190" si="94">((G187-L187)/L187)*100</f>
        <v>-15.071326110509995</v>
      </c>
      <c r="L187" s="23">
        <f t="shared" ref="L187:L193" si="95">+L186+0</f>
        <v>2357309.9500000002</v>
      </c>
      <c r="N187" s="32"/>
      <c r="O187" s="32"/>
    </row>
    <row r="188" spans="2:15" x14ac:dyDescent="0.3">
      <c r="B188" s="33">
        <v>30</v>
      </c>
      <c r="C188" s="67" t="s">
        <v>82</v>
      </c>
      <c r="D188" s="18">
        <v>0</v>
      </c>
      <c r="E188" s="18">
        <v>0</v>
      </c>
      <c r="F188" s="36">
        <f t="shared" si="90"/>
        <v>0</v>
      </c>
      <c r="G188" s="18">
        <f t="shared" si="91"/>
        <v>2002032.08</v>
      </c>
      <c r="H188" s="41">
        <f t="shared" si="92"/>
        <v>9.9159078039517956E-2</v>
      </c>
      <c r="I188" s="23">
        <f t="shared" si="93"/>
        <v>2000048.85</v>
      </c>
      <c r="J188" s="38"/>
      <c r="K188" s="41">
        <f t="shared" si="94"/>
        <v>-15.071326110509995</v>
      </c>
      <c r="L188" s="23">
        <f t="shared" si="95"/>
        <v>2357309.9500000002</v>
      </c>
      <c r="N188" s="32"/>
      <c r="O188" s="32"/>
    </row>
    <row r="189" spans="2:15" x14ac:dyDescent="0.3">
      <c r="B189" s="33">
        <v>31</v>
      </c>
      <c r="C189" s="67" t="s">
        <v>83</v>
      </c>
      <c r="D189" s="18">
        <v>0</v>
      </c>
      <c r="E189" s="18">
        <v>0</v>
      </c>
      <c r="F189" s="36">
        <f t="shared" si="90"/>
        <v>0</v>
      </c>
      <c r="G189" s="18">
        <f t="shared" si="91"/>
        <v>2002032.08</v>
      </c>
      <c r="H189" s="41">
        <f t="shared" si="92"/>
        <v>9.9159078039517956E-2</v>
      </c>
      <c r="I189" s="23">
        <f t="shared" si="93"/>
        <v>2000048.85</v>
      </c>
      <c r="J189" s="38"/>
      <c r="K189" s="41">
        <f t="shared" si="94"/>
        <v>-15.071326110509995</v>
      </c>
      <c r="L189" s="23">
        <f t="shared" si="95"/>
        <v>2357309.9500000002</v>
      </c>
      <c r="N189" s="32"/>
      <c r="O189" s="32"/>
    </row>
    <row r="190" spans="2:15" x14ac:dyDescent="0.3">
      <c r="B190" s="33">
        <v>32</v>
      </c>
      <c r="C190" s="67" t="s">
        <v>84</v>
      </c>
      <c r="D190" s="18">
        <v>0</v>
      </c>
      <c r="E190" s="18">
        <v>0</v>
      </c>
      <c r="F190" s="36">
        <f t="shared" si="90"/>
        <v>0</v>
      </c>
      <c r="G190" s="18">
        <f t="shared" si="91"/>
        <v>2002032.08</v>
      </c>
      <c r="H190" s="41">
        <f t="shared" si="92"/>
        <v>9.9159078039517956E-2</v>
      </c>
      <c r="I190" s="23">
        <f t="shared" si="93"/>
        <v>2000048.85</v>
      </c>
      <c r="J190" s="38"/>
      <c r="K190" s="41">
        <f t="shared" si="94"/>
        <v>-15.071326110509995</v>
      </c>
      <c r="L190" s="23">
        <f t="shared" si="95"/>
        <v>2357309.9500000002</v>
      </c>
      <c r="N190" s="32"/>
      <c r="O190" s="32"/>
    </row>
    <row r="191" spans="2:15" x14ac:dyDescent="0.3">
      <c r="B191" s="33">
        <v>33</v>
      </c>
      <c r="C191" s="67" t="s">
        <v>85</v>
      </c>
      <c r="D191" s="18">
        <v>0</v>
      </c>
      <c r="E191" s="18">
        <v>0</v>
      </c>
      <c r="F191" s="36">
        <f t="shared" si="90"/>
        <v>0</v>
      </c>
      <c r="G191" s="18">
        <f>+G190+F191</f>
        <v>2002032.08</v>
      </c>
      <c r="H191" s="41">
        <f t="shared" ref="H191:H193" si="96">((G191-I191)/I191)*100</f>
        <v>9.9159078039517956E-2</v>
      </c>
      <c r="I191" s="23">
        <f t="shared" si="93"/>
        <v>2000048.85</v>
      </c>
      <c r="J191" s="38"/>
      <c r="K191" s="41">
        <f t="shared" ref="K191:K193" si="97">((G191-L191)/L191)*100</f>
        <v>-15.071326110509995</v>
      </c>
      <c r="L191" s="23">
        <f t="shared" si="95"/>
        <v>2357309.9500000002</v>
      </c>
      <c r="N191" s="32"/>
      <c r="O191" s="32"/>
    </row>
    <row r="192" spans="2:15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2002032.08</v>
      </c>
      <c r="H192" s="41">
        <f t="shared" si="96"/>
        <v>9.9159078039517956E-2</v>
      </c>
      <c r="I192" s="23">
        <f t="shared" si="93"/>
        <v>2000048.85</v>
      </c>
      <c r="J192" s="38"/>
      <c r="K192" s="41">
        <f t="shared" si="97"/>
        <v>-15.071326110509995</v>
      </c>
      <c r="L192" s="23">
        <f t="shared" si="95"/>
        <v>2357309.9500000002</v>
      </c>
      <c r="N192" s="32"/>
      <c r="O192" s="32"/>
    </row>
    <row r="193" spans="2:15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109">
        <f>+G192+F193</f>
        <v>2002032.08</v>
      </c>
      <c r="H193" s="41">
        <f t="shared" si="96"/>
        <v>9.9159078039517956E-2</v>
      </c>
      <c r="I193" s="23">
        <f t="shared" si="93"/>
        <v>2000048.85</v>
      </c>
      <c r="J193" s="38"/>
      <c r="K193" s="41">
        <f t="shared" si="97"/>
        <v>-15.071326110509995</v>
      </c>
      <c r="L193" s="23">
        <f t="shared" si="95"/>
        <v>2357309.9500000002</v>
      </c>
      <c r="N193" s="32"/>
      <c r="O193" s="32"/>
    </row>
    <row r="194" spans="2:15" hidden="1" x14ac:dyDescent="0.3">
      <c r="B194" s="33">
        <v>36</v>
      </c>
      <c r="C194" s="67"/>
      <c r="D194" s="18"/>
      <c r="E194" s="18"/>
      <c r="F194" s="36"/>
      <c r="G194" s="18"/>
      <c r="H194" s="41"/>
      <c r="I194" s="23"/>
      <c r="J194" s="38"/>
      <c r="K194" s="41"/>
      <c r="L194" s="23"/>
      <c r="N194" s="32"/>
      <c r="O194" s="32"/>
    </row>
    <row r="195" spans="2:15" hidden="1" x14ac:dyDescent="0.3">
      <c r="B195" s="33">
        <v>37</v>
      </c>
      <c r="C195" s="67"/>
      <c r="D195" s="18"/>
      <c r="E195" s="18"/>
      <c r="F195" s="36"/>
      <c r="G195" s="18"/>
      <c r="H195" s="41"/>
      <c r="I195" s="23"/>
      <c r="J195" s="38"/>
      <c r="K195" s="41"/>
      <c r="L195" s="23"/>
      <c r="N195" s="32"/>
      <c r="O195" s="32"/>
    </row>
    <row r="196" spans="2:15" hidden="1" x14ac:dyDescent="0.3">
      <c r="B196" s="33">
        <v>38</v>
      </c>
      <c r="C196" s="67"/>
      <c r="D196" s="18"/>
      <c r="E196" s="18"/>
      <c r="F196" s="36"/>
      <c r="G196" s="18"/>
      <c r="H196" s="41"/>
      <c r="I196" s="23"/>
      <c r="J196" s="38"/>
      <c r="K196" s="41"/>
      <c r="L196" s="23"/>
      <c r="N196" s="32"/>
      <c r="O196" s="32"/>
    </row>
    <row r="197" spans="2:15" hidden="1" x14ac:dyDescent="0.3">
      <c r="B197" s="33">
        <v>39</v>
      </c>
      <c r="C197" s="67"/>
      <c r="D197" s="18"/>
      <c r="E197" s="18"/>
      <c r="F197" s="36"/>
      <c r="G197" s="18"/>
      <c r="H197" s="41"/>
      <c r="I197" s="23"/>
      <c r="J197" s="38"/>
      <c r="K197" s="41"/>
      <c r="L197" s="23"/>
      <c r="N197" s="32"/>
      <c r="O197" s="32"/>
    </row>
    <row r="198" spans="2:15" hidden="1" x14ac:dyDescent="0.3">
      <c r="B198" s="33">
        <v>40</v>
      </c>
      <c r="C198" s="67"/>
      <c r="D198" s="18"/>
      <c r="E198" s="18"/>
      <c r="F198" s="36"/>
      <c r="G198" s="18"/>
      <c r="H198" s="41"/>
      <c r="I198" s="23"/>
      <c r="J198" s="38"/>
      <c r="K198" s="41"/>
      <c r="L198" s="23"/>
      <c r="N198" s="32"/>
      <c r="O198" s="32"/>
    </row>
    <row r="199" spans="2:15" x14ac:dyDescent="0.3">
      <c r="B199" s="5"/>
      <c r="C199" s="5"/>
      <c r="D199" s="6"/>
      <c r="E199" s="6"/>
      <c r="F199" s="6"/>
      <c r="G199" s="6"/>
      <c r="H199" s="6"/>
      <c r="I199" s="6"/>
      <c r="J199" s="6"/>
    </row>
    <row r="200" spans="2:15" x14ac:dyDescent="0.3">
      <c r="B200" s="8" t="s">
        <v>27</v>
      </c>
      <c r="C200" s="5"/>
      <c r="D200" s="6"/>
      <c r="E200" s="6"/>
      <c r="F200" s="6"/>
      <c r="G200" s="6"/>
      <c r="H200" s="6"/>
      <c r="I200" s="6"/>
      <c r="J200" s="6"/>
    </row>
    <row r="201" spans="2:15" x14ac:dyDescent="0.3">
      <c r="B201" s="9" t="s">
        <v>28</v>
      </c>
      <c r="C201" s="5"/>
      <c r="D201" s="6"/>
      <c r="E201" s="6"/>
      <c r="F201" s="6"/>
      <c r="G201" s="6"/>
      <c r="H201" s="6"/>
      <c r="I201" s="6"/>
      <c r="J201" s="6"/>
    </row>
    <row r="202" spans="2:15" x14ac:dyDescent="0.3">
      <c r="B202" s="9" t="s">
        <v>29</v>
      </c>
      <c r="C202" s="5"/>
      <c r="D202" s="6"/>
      <c r="E202" s="6"/>
      <c r="F202" s="6"/>
      <c r="G202" s="6"/>
      <c r="H202" s="6"/>
      <c r="I202" s="6"/>
      <c r="J202" s="6"/>
    </row>
    <row r="203" spans="2:15" x14ac:dyDescent="0.3">
      <c r="B203" s="9" t="s">
        <v>30</v>
      </c>
      <c r="C203" s="5"/>
      <c r="D203" s="6"/>
      <c r="E203" s="6"/>
      <c r="F203" s="6"/>
      <c r="G203" s="6"/>
      <c r="H203" s="6"/>
      <c r="I203" s="6"/>
      <c r="J203" s="6"/>
    </row>
  </sheetData>
  <sheetProtection formatCells="0" formatColumns="0" formatRows="0" insertColumns="0" insertRows="0" insertHyperlinks="0" deleteColumns="0" deleteRows="0" sort="0" autoFilter="0" pivotTables="0"/>
  <mergeCells count="56">
    <mergeCell ref="D3:I3"/>
    <mergeCell ref="D53:I53"/>
    <mergeCell ref="D54:I54"/>
    <mergeCell ref="D56:G56"/>
    <mergeCell ref="H56:I57"/>
    <mergeCell ref="D57:G57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  <mergeCell ref="D6:G6"/>
    <mergeCell ref="D5:G5"/>
    <mergeCell ref="B58:B59"/>
    <mergeCell ref="C58:C59"/>
    <mergeCell ref="H58:H59"/>
    <mergeCell ref="I58:I59"/>
    <mergeCell ref="D59:G59"/>
    <mergeCell ref="D104:I104"/>
    <mergeCell ref="D105:I105"/>
    <mergeCell ref="B106:L106"/>
    <mergeCell ref="D107:G107"/>
    <mergeCell ref="H107:I108"/>
    <mergeCell ref="D108:G108"/>
    <mergeCell ref="B109:B110"/>
    <mergeCell ref="C109:C110"/>
    <mergeCell ref="H109:H110"/>
    <mergeCell ref="I109:I110"/>
    <mergeCell ref="D110:G110"/>
    <mergeCell ref="D156:I156"/>
    <mergeCell ref="D158:G158"/>
    <mergeCell ref="H158:I159"/>
    <mergeCell ref="D159:G159"/>
    <mergeCell ref="B157:L157"/>
    <mergeCell ref="K158:L159"/>
    <mergeCell ref="K53:L54"/>
    <mergeCell ref="K160:K161"/>
    <mergeCell ref="L160:L161"/>
    <mergeCell ref="B55:L55"/>
    <mergeCell ref="K56:L57"/>
    <mergeCell ref="K58:K59"/>
    <mergeCell ref="L58:L59"/>
    <mergeCell ref="K107:L108"/>
    <mergeCell ref="K109:K110"/>
    <mergeCell ref="L109:L110"/>
    <mergeCell ref="B160:B161"/>
    <mergeCell ref="C160:C161"/>
    <mergeCell ref="H160:H161"/>
    <mergeCell ref="I160:I161"/>
    <mergeCell ref="D161:G161"/>
    <mergeCell ref="D155:I155"/>
  </mergeCells>
  <phoneticPr fontId="16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M203"/>
  <sheetViews>
    <sheetView topLeftCell="A11" zoomScale="75" zoomScaleNormal="75" workbookViewId="0">
      <selection activeCell="G40" sqref="G40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32" customWidth="1"/>
    <col min="5" max="5" width="13" style="32" customWidth="1"/>
    <col min="6" max="6" width="14.875" style="32" customWidth="1"/>
    <col min="7" max="7" width="14.625" style="32" customWidth="1"/>
    <col min="8" max="8" width="13" style="32" customWidth="1"/>
    <col min="9" max="9" width="17.125" style="32" customWidth="1"/>
    <col min="10" max="11" width="9" style="3"/>
    <col min="12" max="12" width="15.375" style="3" bestFit="1" customWidth="1"/>
    <col min="13" max="13" width="15.625" style="3" bestFit="1" customWidth="1"/>
    <col min="14" max="16384" width="9" style="3"/>
  </cols>
  <sheetData>
    <row r="3" spans="2:12" s="28" customFormat="1" ht="18" x14ac:dyDescent="0.35">
      <c r="B3" s="24"/>
      <c r="C3" s="24"/>
      <c r="D3" s="171" t="s">
        <v>35</v>
      </c>
      <c r="E3" s="171"/>
      <c r="F3" s="171"/>
      <c r="G3" s="171"/>
      <c r="H3" s="171"/>
      <c r="I3" s="171"/>
      <c r="J3" s="24"/>
      <c r="K3" s="29"/>
      <c r="L3" s="2"/>
    </row>
    <row r="4" spans="2:12" ht="15.9" customHeight="1" x14ac:dyDescent="0.3">
      <c r="B4" s="132" t="s">
        <v>88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52" t="s">
        <v>6</v>
      </c>
      <c r="E5" s="153"/>
      <c r="F5" s="153"/>
      <c r="G5" s="154"/>
      <c r="H5" s="143" t="s">
        <v>7</v>
      </c>
      <c r="I5" s="144"/>
      <c r="J5" s="4"/>
      <c r="K5" s="1"/>
      <c r="L5" s="2"/>
    </row>
    <row r="6" spans="2:12" ht="14.4" customHeight="1" x14ac:dyDescent="0.3">
      <c r="B6" s="12"/>
      <c r="C6" s="13"/>
      <c r="D6" s="155" t="s">
        <v>9</v>
      </c>
      <c r="E6" s="156"/>
      <c r="F6" s="156"/>
      <c r="G6" s="157"/>
      <c r="H6" s="145"/>
      <c r="I6" s="146"/>
      <c r="J6" s="4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44" t="s">
        <v>12</v>
      </c>
      <c r="E7" s="44" t="s">
        <v>13</v>
      </c>
      <c r="F7" s="44" t="s">
        <v>14</v>
      </c>
      <c r="G7" s="44" t="s">
        <v>15</v>
      </c>
      <c r="H7" s="139" t="s">
        <v>16</v>
      </c>
      <c r="I7" s="141" t="s">
        <v>17</v>
      </c>
      <c r="J7" s="17"/>
      <c r="K7" s="1"/>
      <c r="L7" s="2"/>
    </row>
    <row r="8" spans="2:12" ht="31.35" customHeight="1" x14ac:dyDescent="0.3">
      <c r="B8" s="112"/>
      <c r="C8" s="114"/>
      <c r="D8" s="165" t="s">
        <v>20</v>
      </c>
      <c r="E8" s="166"/>
      <c r="F8" s="166"/>
      <c r="G8" s="167"/>
      <c r="H8" s="140"/>
      <c r="I8" s="142"/>
      <c r="J8" s="17"/>
      <c r="K8" s="1"/>
    </row>
    <row r="9" spans="2:12" x14ac:dyDescent="0.3">
      <c r="B9" s="33">
        <v>4</v>
      </c>
      <c r="C9" s="31" t="s">
        <v>21</v>
      </c>
      <c r="D9" s="18">
        <v>696917.44</v>
      </c>
      <c r="E9" s="18">
        <v>0</v>
      </c>
      <c r="F9" s="36">
        <f>+D9+E9</f>
        <v>696917.44</v>
      </c>
      <c r="G9" s="18">
        <f>+F9</f>
        <v>696917.44</v>
      </c>
      <c r="H9" s="37">
        <f t="shared" ref="H9:H29" si="0">((G9-I9)/I9)*100</f>
        <v>404.17235043044195</v>
      </c>
      <c r="I9" s="18">
        <v>138230</v>
      </c>
      <c r="J9" s="19"/>
      <c r="K9" s="1"/>
    </row>
    <row r="10" spans="2:12" x14ac:dyDescent="0.3">
      <c r="B10" s="33">
        <v>5</v>
      </c>
      <c r="C10" s="31" t="s">
        <v>22</v>
      </c>
      <c r="D10" s="23">
        <v>4382751.42</v>
      </c>
      <c r="E10" s="23">
        <v>0</v>
      </c>
      <c r="F10" s="40">
        <f>+E10+D10</f>
        <v>4382751.42</v>
      </c>
      <c r="G10" s="23">
        <f>+G9+F10</f>
        <v>5079668.8599999994</v>
      </c>
      <c r="H10" s="41">
        <f t="shared" si="0"/>
        <v>129.39980280898408</v>
      </c>
      <c r="I10" s="23">
        <f>+I9+2076100.09</f>
        <v>2214330.09</v>
      </c>
      <c r="J10" s="19"/>
      <c r="K10" s="1"/>
    </row>
    <row r="11" spans="2:12" x14ac:dyDescent="0.3">
      <c r="B11" s="33">
        <v>6</v>
      </c>
      <c r="C11" s="31" t="s">
        <v>23</v>
      </c>
      <c r="D11" s="23">
        <f>6155544.29-79989</f>
        <v>6075555.29</v>
      </c>
      <c r="E11" s="23">
        <f>+E62</f>
        <v>79989</v>
      </c>
      <c r="F11" s="40">
        <f>+E11+D11</f>
        <v>6155544.29</v>
      </c>
      <c r="G11" s="23">
        <f t="shared" ref="G11:G24" si="1">+G10+F11</f>
        <v>11235213.149999999</v>
      </c>
      <c r="H11" s="41">
        <f t="shared" si="0"/>
        <v>164.37779724668982</v>
      </c>
      <c r="I11" s="23">
        <f>+I10+2035350.96</f>
        <v>4249681.05</v>
      </c>
      <c r="J11" s="19"/>
      <c r="K11" s="1"/>
      <c r="L11" s="30"/>
    </row>
    <row r="12" spans="2:12" x14ac:dyDescent="0.3">
      <c r="B12" s="33">
        <v>7</v>
      </c>
      <c r="C12" s="31" t="s">
        <v>24</v>
      </c>
      <c r="D12" s="23">
        <v>2466772.65</v>
      </c>
      <c r="E12" s="23">
        <v>3178848</v>
      </c>
      <c r="F12" s="40">
        <f t="shared" ref="F12:F24" si="2">+E12+D12</f>
        <v>5645620.6500000004</v>
      </c>
      <c r="G12" s="23">
        <f>+G11+F12</f>
        <v>16880833.799999997</v>
      </c>
      <c r="H12" s="41">
        <f t="shared" si="0"/>
        <v>105.19430683355768</v>
      </c>
      <c r="I12" s="23">
        <f>+I11+3977074.39</f>
        <v>8226755.4399999995</v>
      </c>
      <c r="J12" s="19"/>
      <c r="K12" s="1"/>
      <c r="L12" s="30"/>
    </row>
    <row r="13" spans="2:12" x14ac:dyDescent="0.3">
      <c r="B13" s="33">
        <v>8</v>
      </c>
      <c r="C13" s="31" t="s">
        <v>25</v>
      </c>
      <c r="D13" s="23">
        <v>5219153.76</v>
      </c>
      <c r="E13" s="23">
        <v>0</v>
      </c>
      <c r="F13" s="40">
        <f t="shared" si="2"/>
        <v>5219153.76</v>
      </c>
      <c r="G13" s="23">
        <f t="shared" si="1"/>
        <v>22099987.559999995</v>
      </c>
      <c r="H13" s="41">
        <f t="shared" si="0"/>
        <v>61.518350704701383</v>
      </c>
      <c r="I13" s="23">
        <v>13682648.109999999</v>
      </c>
      <c r="J13" s="19"/>
      <c r="K13" s="1"/>
      <c r="L13" s="32"/>
    </row>
    <row r="14" spans="2:12" x14ac:dyDescent="0.3">
      <c r="B14" s="33">
        <v>9</v>
      </c>
      <c r="C14" s="31" t="s">
        <v>26</v>
      </c>
      <c r="D14" s="23">
        <v>4452434.1500000004</v>
      </c>
      <c r="E14" s="23">
        <v>0</v>
      </c>
      <c r="F14" s="40">
        <f t="shared" si="2"/>
        <v>4452434.1500000004</v>
      </c>
      <c r="G14" s="23">
        <f t="shared" si="1"/>
        <v>26552421.709999993</v>
      </c>
      <c r="H14" s="41">
        <f t="shared" si="0"/>
        <v>41.191446292220242</v>
      </c>
      <c r="I14" s="23">
        <v>18805970.48</v>
      </c>
      <c r="J14" s="19"/>
      <c r="K14" s="1"/>
    </row>
    <row r="15" spans="2:12" x14ac:dyDescent="0.3">
      <c r="B15" s="33">
        <v>10</v>
      </c>
      <c r="C15" s="31" t="s">
        <v>55</v>
      </c>
      <c r="D15" s="23">
        <v>8612538.6099999994</v>
      </c>
      <c r="E15" s="23">
        <v>34326.5</v>
      </c>
      <c r="F15" s="40">
        <f t="shared" si="2"/>
        <v>8646865.1099999994</v>
      </c>
      <c r="G15" s="23">
        <f t="shared" si="1"/>
        <v>35199286.819999993</v>
      </c>
      <c r="H15" s="41">
        <f t="shared" si="0"/>
        <v>35.76376342351967</v>
      </c>
      <c r="I15" s="23">
        <f>+I14+7120893.9</f>
        <v>25926864.380000003</v>
      </c>
      <c r="J15" s="19"/>
      <c r="K15" s="1"/>
    </row>
    <row r="16" spans="2:12" x14ac:dyDescent="0.3">
      <c r="B16" s="33">
        <v>11</v>
      </c>
      <c r="C16" s="31" t="s">
        <v>56</v>
      </c>
      <c r="D16" s="23">
        <v>7184835.5999999996</v>
      </c>
      <c r="E16" s="23">
        <v>0</v>
      </c>
      <c r="F16" s="40">
        <f t="shared" si="2"/>
        <v>7184835.5999999996</v>
      </c>
      <c r="G16" s="23">
        <f t="shared" si="1"/>
        <v>42384122.419999994</v>
      </c>
      <c r="H16" s="41">
        <f t="shared" si="0"/>
        <v>33.587536784279735</v>
      </c>
      <c r="I16" s="23">
        <f>+I15+5800737.94</f>
        <v>31727602.320000004</v>
      </c>
      <c r="J16" s="19"/>
      <c r="K16" s="1"/>
    </row>
    <row r="17" spans="2:13" x14ac:dyDescent="0.3">
      <c r="B17" s="33">
        <v>12</v>
      </c>
      <c r="C17" s="31" t="s">
        <v>71</v>
      </c>
      <c r="D17" s="23">
        <v>6922769.54</v>
      </c>
      <c r="E17" s="23">
        <v>0</v>
      </c>
      <c r="F17" s="40">
        <f t="shared" si="2"/>
        <v>6922769.54</v>
      </c>
      <c r="G17" s="23">
        <f t="shared" si="1"/>
        <v>49306891.959999993</v>
      </c>
      <c r="H17" s="41">
        <f t="shared" si="0"/>
        <v>29.470503526062945</v>
      </c>
      <c r="I17" s="23">
        <f>+I16+6355892.08</f>
        <v>38083494.400000006</v>
      </c>
      <c r="J17" s="19"/>
      <c r="K17" s="1"/>
    </row>
    <row r="18" spans="2:13" x14ac:dyDescent="0.3">
      <c r="B18" s="33">
        <v>13</v>
      </c>
      <c r="C18" s="31" t="s">
        <v>57</v>
      </c>
      <c r="D18" s="23">
        <v>4166259.22</v>
      </c>
      <c r="E18" s="23">
        <v>0</v>
      </c>
      <c r="F18" s="40">
        <f t="shared" si="2"/>
        <v>4166259.22</v>
      </c>
      <c r="G18" s="23">
        <f t="shared" si="1"/>
        <v>53473151.179999992</v>
      </c>
      <c r="H18" s="41">
        <f t="shared" si="0"/>
        <v>26.760573626383206</v>
      </c>
      <c r="I18" s="23">
        <v>42184371.409999996</v>
      </c>
      <c r="J18" s="19"/>
      <c r="K18" s="1"/>
    </row>
    <row r="19" spans="2:13" x14ac:dyDescent="0.3">
      <c r="B19" s="33">
        <v>14</v>
      </c>
      <c r="C19" s="49" t="s">
        <v>58</v>
      </c>
      <c r="D19" s="23">
        <v>1249646.03</v>
      </c>
      <c r="E19" s="23">
        <v>179717.5</v>
      </c>
      <c r="F19" s="40">
        <f t="shared" si="2"/>
        <v>1429363.53</v>
      </c>
      <c r="G19" s="23">
        <f t="shared" si="1"/>
        <v>54902514.709999993</v>
      </c>
      <c r="H19" s="41">
        <f t="shared" si="0"/>
        <v>17.556566287643399</v>
      </c>
      <c r="I19" s="23">
        <f>+I18+4518689.46</f>
        <v>46703060.869999997</v>
      </c>
      <c r="J19" s="19"/>
      <c r="K19" s="1"/>
    </row>
    <row r="20" spans="2:13" x14ac:dyDescent="0.3">
      <c r="B20" s="33">
        <v>15</v>
      </c>
      <c r="C20" s="31" t="s">
        <v>59</v>
      </c>
      <c r="D20" s="23">
        <v>1419304.09</v>
      </c>
      <c r="E20" s="23">
        <v>0</v>
      </c>
      <c r="F20" s="40">
        <f t="shared" si="2"/>
        <v>1419304.09</v>
      </c>
      <c r="G20" s="23">
        <f t="shared" si="1"/>
        <v>56321818.799999997</v>
      </c>
      <c r="H20" s="41">
        <f t="shared" si="0"/>
        <v>14.135612297593811</v>
      </c>
      <c r="I20" s="23">
        <f>+I19+2643341.77</f>
        <v>49346402.640000001</v>
      </c>
      <c r="J20" s="19"/>
      <c r="K20" s="1"/>
    </row>
    <row r="21" spans="2:13" x14ac:dyDescent="0.3">
      <c r="B21" s="33">
        <v>16</v>
      </c>
      <c r="C21" s="31" t="s">
        <v>60</v>
      </c>
      <c r="D21" s="23">
        <v>1755700.83</v>
      </c>
      <c r="E21" s="23">
        <v>0</v>
      </c>
      <c r="F21" s="40">
        <f t="shared" si="2"/>
        <v>1755700.83</v>
      </c>
      <c r="G21" s="23">
        <f t="shared" si="1"/>
        <v>58077519.629999995</v>
      </c>
      <c r="H21" s="41">
        <f t="shared" si="0"/>
        <v>11.403227266166123</v>
      </c>
      <c r="I21" s="23">
        <v>52132708.409999996</v>
      </c>
      <c r="J21" s="19"/>
      <c r="K21" s="1"/>
    </row>
    <row r="22" spans="2:13" x14ac:dyDescent="0.3">
      <c r="B22" s="33">
        <v>17</v>
      </c>
      <c r="C22" s="31" t="s">
        <v>61</v>
      </c>
      <c r="D22" s="23">
        <v>585975.03</v>
      </c>
      <c r="E22" s="23">
        <v>135843</v>
      </c>
      <c r="F22" s="40">
        <f t="shared" si="2"/>
        <v>721818.03</v>
      </c>
      <c r="G22" s="23">
        <f t="shared" si="1"/>
        <v>58799337.659999996</v>
      </c>
      <c r="H22" s="41">
        <f t="shared" si="0"/>
        <v>9.4060435045644226</v>
      </c>
      <c r="I22" s="23">
        <f>+I21+1611432.02</f>
        <v>53744140.43</v>
      </c>
      <c r="J22" s="19"/>
      <c r="K22" s="1"/>
    </row>
    <row r="23" spans="2:13" x14ac:dyDescent="0.3">
      <c r="B23" s="33">
        <v>18</v>
      </c>
      <c r="C23" s="31" t="s">
        <v>62</v>
      </c>
      <c r="D23" s="23">
        <v>275116.52</v>
      </c>
      <c r="E23" s="23">
        <v>0</v>
      </c>
      <c r="F23" s="40">
        <f t="shared" si="2"/>
        <v>275116.52</v>
      </c>
      <c r="G23" s="23">
        <f t="shared" si="1"/>
        <v>59074454.18</v>
      </c>
      <c r="H23" s="41">
        <f t="shared" si="0"/>
        <v>4.9189177309556991</v>
      </c>
      <c r="I23" s="23">
        <f>+I22+2560723.8</f>
        <v>56304864.229999997</v>
      </c>
      <c r="J23" s="19"/>
      <c r="K23" s="1"/>
    </row>
    <row r="24" spans="2:13" x14ac:dyDescent="0.3">
      <c r="B24" s="33">
        <v>19</v>
      </c>
      <c r="C24" s="31" t="s">
        <v>63</v>
      </c>
      <c r="D24" s="23">
        <v>765323</v>
      </c>
      <c r="E24" s="23">
        <v>0</v>
      </c>
      <c r="F24" s="40">
        <f t="shared" si="2"/>
        <v>765323</v>
      </c>
      <c r="G24" s="23">
        <f t="shared" si="1"/>
        <v>59839777.18</v>
      </c>
      <c r="H24" s="41">
        <f t="shared" si="0"/>
        <v>4.1709100911922068</v>
      </c>
      <c r="I24" s="23">
        <f>+I23+1138981.78</f>
        <v>57443846.009999998</v>
      </c>
      <c r="J24" s="19"/>
      <c r="K24" s="1"/>
    </row>
    <row r="25" spans="2:13" x14ac:dyDescent="0.3">
      <c r="B25" s="33">
        <v>20</v>
      </c>
      <c r="C25" s="31" t="s">
        <v>64</v>
      </c>
      <c r="D25" s="23">
        <v>64204.5</v>
      </c>
      <c r="E25" s="23">
        <v>-19420</v>
      </c>
      <c r="F25" s="40">
        <f t="shared" ref="F25:F31" si="3">+E25+D25</f>
        <v>44784.5</v>
      </c>
      <c r="G25" s="23">
        <f t="shared" ref="G25:G31" si="4">+G24+F25</f>
        <v>59884561.68</v>
      </c>
      <c r="H25" s="41">
        <f t="shared" si="0"/>
        <v>3.2555868749046688</v>
      </c>
      <c r="I25" s="23">
        <f>+I24+552591.27</f>
        <v>57996437.280000001</v>
      </c>
      <c r="J25" s="19"/>
      <c r="K25" s="1"/>
      <c r="L25" s="32"/>
      <c r="M25" s="32"/>
    </row>
    <row r="26" spans="2:13" x14ac:dyDescent="0.3">
      <c r="B26" s="33">
        <v>21</v>
      </c>
      <c r="C26" s="31" t="s">
        <v>65</v>
      </c>
      <c r="D26" s="23">
        <v>82694.25</v>
      </c>
      <c r="E26" s="23">
        <v>0</v>
      </c>
      <c r="F26" s="40">
        <f t="shared" si="3"/>
        <v>82694.25</v>
      </c>
      <c r="G26" s="23">
        <f t="shared" si="4"/>
        <v>59967255.93</v>
      </c>
      <c r="H26" s="41">
        <f t="shared" si="0"/>
        <v>2.3013358460532691</v>
      </c>
      <c r="I26" s="23">
        <f>+I25+621815.78</f>
        <v>58618253.060000002</v>
      </c>
      <c r="J26" s="19"/>
      <c r="K26" s="1"/>
      <c r="L26" s="32"/>
    </row>
    <row r="27" spans="2:13" x14ac:dyDescent="0.3">
      <c r="B27" s="33">
        <v>22</v>
      </c>
      <c r="C27" s="31" t="s">
        <v>66</v>
      </c>
      <c r="D27" s="23">
        <v>231298.01</v>
      </c>
      <c r="E27" s="23">
        <v>0</v>
      </c>
      <c r="F27" s="40">
        <f t="shared" si="3"/>
        <v>231298.01</v>
      </c>
      <c r="G27" s="23">
        <f t="shared" si="4"/>
        <v>60198553.939999998</v>
      </c>
      <c r="H27" s="41">
        <f t="shared" si="0"/>
        <v>2.526683716651736</v>
      </c>
      <c r="I27" s="23">
        <f>+I26+96758.25</f>
        <v>58715011.310000002</v>
      </c>
      <c r="J27" s="19"/>
      <c r="K27" s="1"/>
      <c r="L27" s="32"/>
      <c r="M27" s="30"/>
    </row>
    <row r="28" spans="2:13" x14ac:dyDescent="0.3">
      <c r="B28" s="33">
        <v>23</v>
      </c>
      <c r="C28" s="31" t="s">
        <v>76</v>
      </c>
      <c r="D28" s="23">
        <v>223312.49</v>
      </c>
      <c r="E28" s="23">
        <f>+' Specific add product detail'!E31</f>
        <v>-64311</v>
      </c>
      <c r="F28" s="40">
        <f t="shared" si="3"/>
        <v>159001.49</v>
      </c>
      <c r="G28" s="23">
        <f t="shared" si="4"/>
        <v>60357555.43</v>
      </c>
      <c r="H28" s="41">
        <f t="shared" si="0"/>
        <v>2.7613351615578554</v>
      </c>
      <c r="I28" s="23">
        <f>+I27+20655.5</f>
        <v>58735666.810000002</v>
      </c>
      <c r="J28" s="19"/>
      <c r="K28" s="1"/>
      <c r="L28" s="32"/>
    </row>
    <row r="29" spans="2:13" x14ac:dyDescent="0.3">
      <c r="B29" s="33">
        <v>24</v>
      </c>
      <c r="C29" s="31" t="s">
        <v>68</v>
      </c>
      <c r="D29" s="23">
        <v>37973</v>
      </c>
      <c r="E29" s="23">
        <v>0</v>
      </c>
      <c r="F29" s="40">
        <f t="shared" si="3"/>
        <v>37973</v>
      </c>
      <c r="G29" s="23">
        <f t="shared" si="4"/>
        <v>60395528.43</v>
      </c>
      <c r="H29" s="41">
        <f t="shared" si="0"/>
        <v>2.8300537796577858</v>
      </c>
      <c r="I29" s="23">
        <f>+I28-2323.58</f>
        <v>58733343.230000004</v>
      </c>
      <c r="J29" s="19"/>
      <c r="K29" s="1"/>
    </row>
    <row r="30" spans="2:13" x14ac:dyDescent="0.3">
      <c r="B30" s="33">
        <v>25</v>
      </c>
      <c r="C30" s="67" t="s">
        <v>69</v>
      </c>
      <c r="D30" s="23">
        <v>74172</v>
      </c>
      <c r="E30" s="23">
        <v>0</v>
      </c>
      <c r="F30" s="40">
        <f t="shared" si="3"/>
        <v>74172</v>
      </c>
      <c r="G30" s="23">
        <f t="shared" si="4"/>
        <v>60469700.43</v>
      </c>
      <c r="H30" s="41">
        <f t="shared" ref="H30" si="5">((G30-I30)/I30)*100</f>
        <v>2.9604130668281248</v>
      </c>
      <c r="I30" s="23">
        <f>+I29-2323.58</f>
        <v>58731019.650000006</v>
      </c>
      <c r="J30" s="19"/>
      <c r="K30" s="1"/>
      <c r="L30" s="32"/>
    </row>
    <row r="31" spans="2:13" x14ac:dyDescent="0.3">
      <c r="B31" s="33">
        <v>26</v>
      </c>
      <c r="C31" s="31" t="s">
        <v>70</v>
      </c>
      <c r="D31" s="23">
        <v>52969.9</v>
      </c>
      <c r="E31" s="23">
        <v>37775</v>
      </c>
      <c r="F31" s="40">
        <f t="shared" si="3"/>
        <v>90744.9</v>
      </c>
      <c r="G31" s="23">
        <f t="shared" si="4"/>
        <v>60560445.329999998</v>
      </c>
      <c r="H31" s="41">
        <f t="shared" ref="H31" si="6">((G31-I31)/I31)*100</f>
        <v>3.1190020936556957</v>
      </c>
      <c r="I31" s="23">
        <f>+I30-2323.58</f>
        <v>58728696.070000008</v>
      </c>
      <c r="J31" s="19"/>
      <c r="K31" s="1"/>
    </row>
    <row r="32" spans="2:13" x14ac:dyDescent="0.3">
      <c r="B32" s="97">
        <v>27</v>
      </c>
      <c r="C32" s="67" t="s">
        <v>79</v>
      </c>
      <c r="D32" s="94">
        <v>32188.5</v>
      </c>
      <c r="E32" s="95">
        <v>0</v>
      </c>
      <c r="F32" s="96">
        <f t="shared" ref="F32" si="7">+E32+D32</f>
        <v>32188.5</v>
      </c>
      <c r="G32" s="95">
        <f t="shared" ref="G32" si="8">+G31+F32</f>
        <v>60592633.829999998</v>
      </c>
      <c r="H32" s="37">
        <f t="shared" ref="H32" si="9">((G32-I32)/I32)*100</f>
        <v>3.1778931012941039</v>
      </c>
      <c r="I32" s="18">
        <f>+I31-2323.58</f>
        <v>58726372.49000001</v>
      </c>
      <c r="J32" s="19"/>
      <c r="K32" s="1"/>
      <c r="L32" s="32"/>
    </row>
    <row r="33" spans="2:13" x14ac:dyDescent="0.3">
      <c r="B33" s="33">
        <v>28</v>
      </c>
      <c r="C33" s="67" t="s">
        <v>80</v>
      </c>
      <c r="D33" s="23">
        <v>34830</v>
      </c>
      <c r="E33" s="23">
        <v>769468</v>
      </c>
      <c r="F33" s="40">
        <f t="shared" ref="F33" si="10">+E33+D33</f>
        <v>804298</v>
      </c>
      <c r="G33" s="23">
        <f t="shared" ref="G33" si="11">+G32+F33</f>
        <v>61396931.829999998</v>
      </c>
      <c r="H33" s="41">
        <f t="shared" ref="H33" si="12">((G33-I33)/I33)*100</f>
        <v>4.5515984841175117</v>
      </c>
      <c r="I33" s="23">
        <f>+I32-2323.58</f>
        <v>58724048.910000011</v>
      </c>
      <c r="J33" s="19"/>
      <c r="K33" s="1"/>
    </row>
    <row r="34" spans="2:13" x14ac:dyDescent="0.3">
      <c r="B34" s="33">
        <v>29</v>
      </c>
      <c r="C34" s="67" t="s">
        <v>81</v>
      </c>
      <c r="D34" s="94">
        <v>11761</v>
      </c>
      <c r="E34" s="95">
        <v>0</v>
      </c>
      <c r="F34" s="96">
        <f t="shared" ref="F34:F37" si="13">+E34+D34</f>
        <v>11761</v>
      </c>
      <c r="G34" s="95">
        <f t="shared" ref="G34:G37" si="14">+G33+F34</f>
        <v>61408692.829999998</v>
      </c>
      <c r="H34" s="37">
        <f t="shared" ref="H34:H37" si="15">((G34-I34)/I34)*100</f>
        <v>4.5757638844907289</v>
      </c>
      <c r="I34" s="18">
        <f t="shared" ref="I34:I38" si="16">+I33-2323.58</f>
        <v>58721725.330000013</v>
      </c>
      <c r="J34" s="10"/>
      <c r="K34" s="1"/>
    </row>
    <row r="35" spans="2:13" x14ac:dyDescent="0.3">
      <c r="B35" s="97">
        <v>30</v>
      </c>
      <c r="C35" s="67" t="s">
        <v>82</v>
      </c>
      <c r="D35" s="94">
        <v>878</v>
      </c>
      <c r="E35" s="95">
        <v>0</v>
      </c>
      <c r="F35" s="96">
        <f t="shared" si="13"/>
        <v>878</v>
      </c>
      <c r="G35" s="95">
        <f t="shared" si="14"/>
        <v>61409570.829999998</v>
      </c>
      <c r="H35" s="41">
        <f t="shared" si="15"/>
        <v>4.5813972891847161</v>
      </c>
      <c r="I35" s="23">
        <f t="shared" si="16"/>
        <v>58719401.750000015</v>
      </c>
      <c r="J35" s="10"/>
    </row>
    <row r="36" spans="2:13" x14ac:dyDescent="0.3">
      <c r="B36" s="33">
        <v>31</v>
      </c>
      <c r="C36" s="67" t="s">
        <v>83</v>
      </c>
      <c r="D36" s="94">
        <v>3129</v>
      </c>
      <c r="E36" s="95">
        <v>0</v>
      </c>
      <c r="F36" s="96">
        <f t="shared" si="13"/>
        <v>3129</v>
      </c>
      <c r="G36" s="95">
        <f t="shared" si="14"/>
        <v>61412699.829999998</v>
      </c>
      <c r="H36" s="41">
        <f t="shared" si="15"/>
        <v>4.5908647773574671</v>
      </c>
      <c r="I36" s="23">
        <f t="shared" si="16"/>
        <v>58717078.170000017</v>
      </c>
      <c r="J36" s="10"/>
    </row>
    <row r="37" spans="2:13" x14ac:dyDescent="0.3">
      <c r="B37" s="97">
        <v>32</v>
      </c>
      <c r="C37" s="67" t="s">
        <v>84</v>
      </c>
      <c r="D37" s="94">
        <v>16530</v>
      </c>
      <c r="E37" s="95">
        <v>0</v>
      </c>
      <c r="F37" s="96">
        <f t="shared" si="13"/>
        <v>16530</v>
      </c>
      <c r="G37" s="95">
        <f t="shared" si="14"/>
        <v>61429229.829999998</v>
      </c>
      <c r="H37" s="41">
        <f t="shared" si="15"/>
        <v>4.6231569201896905</v>
      </c>
      <c r="I37" s="23">
        <f t="shared" si="16"/>
        <v>58714754.590000018</v>
      </c>
      <c r="J37" s="10"/>
    </row>
    <row r="38" spans="2:13" x14ac:dyDescent="0.3">
      <c r="B38" s="97">
        <v>33</v>
      </c>
      <c r="C38" s="67" t="s">
        <v>85</v>
      </c>
      <c r="D38" s="94">
        <v>2426.5</v>
      </c>
      <c r="E38" s="95">
        <f>32871+33510-14392+2414</f>
        <v>54403</v>
      </c>
      <c r="F38" s="96">
        <v>56829.5</v>
      </c>
      <c r="G38" s="95">
        <f>+G37+F38</f>
        <v>61486059.329999998</v>
      </c>
      <c r="H38" s="41">
        <f t="shared" ref="H38:H40" si="17">((G38-I38)/I38)*100</f>
        <v>4.7240904051947155</v>
      </c>
      <c r="I38" s="23">
        <f t="shared" si="16"/>
        <v>58712431.01000002</v>
      </c>
      <c r="J38" s="10"/>
    </row>
    <row r="39" spans="2:13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61486059.329999998</v>
      </c>
      <c r="H39" s="41">
        <f t="shared" si="17"/>
        <v>4.7240904051947155</v>
      </c>
      <c r="I39" s="23">
        <f t="shared" ref="I39:I40" si="18">+I38+0</f>
        <v>58712431.01000002</v>
      </c>
      <c r="J39" s="10"/>
    </row>
    <row r="40" spans="2:13" x14ac:dyDescent="0.3">
      <c r="B40" s="33">
        <v>35</v>
      </c>
      <c r="C40" s="67" t="s">
        <v>86</v>
      </c>
      <c r="D40" s="23">
        <v>968</v>
      </c>
      <c r="E40" s="23">
        <v>0</v>
      </c>
      <c r="F40" s="40">
        <f>+E40+D40</f>
        <v>968</v>
      </c>
      <c r="G40" s="40">
        <f>+G39+F40</f>
        <v>61487027.329999998</v>
      </c>
      <c r="H40" s="41">
        <f t="shared" si="17"/>
        <v>4.7257391190758273</v>
      </c>
      <c r="I40" s="23">
        <f t="shared" si="18"/>
        <v>58712431.01000002</v>
      </c>
      <c r="J40" s="10"/>
    </row>
    <row r="41" spans="2:13" hidden="1" x14ac:dyDescent="0.3">
      <c r="B41" s="97">
        <v>36</v>
      </c>
      <c r="C41" s="67"/>
      <c r="D41" s="94"/>
      <c r="E41" s="95"/>
      <c r="F41" s="96"/>
      <c r="G41" s="96"/>
      <c r="H41" s="41"/>
      <c r="I41" s="23"/>
      <c r="J41" s="10"/>
    </row>
    <row r="42" spans="2:13" hidden="1" x14ac:dyDescent="0.3">
      <c r="B42" s="33">
        <v>37</v>
      </c>
      <c r="C42" s="67"/>
      <c r="D42" s="94"/>
      <c r="E42" s="95"/>
      <c r="F42" s="96"/>
      <c r="G42" s="96"/>
      <c r="H42" s="41"/>
      <c r="I42" s="23"/>
      <c r="J42" s="10"/>
    </row>
    <row r="43" spans="2:13" hidden="1" x14ac:dyDescent="0.3">
      <c r="B43" s="97">
        <v>38</v>
      </c>
      <c r="C43" s="67"/>
      <c r="D43" s="94"/>
      <c r="E43" s="95"/>
      <c r="F43" s="96"/>
      <c r="G43" s="96"/>
      <c r="H43" s="41"/>
      <c r="I43" s="23"/>
      <c r="J43" s="10"/>
    </row>
    <row r="44" spans="2:13" hidden="1" x14ac:dyDescent="0.3">
      <c r="B44" s="97">
        <v>39</v>
      </c>
      <c r="C44" s="67"/>
      <c r="D44" s="94"/>
      <c r="E44" s="95"/>
      <c r="F44" s="96"/>
      <c r="G44" s="96"/>
      <c r="H44" s="41"/>
      <c r="I44" s="23"/>
      <c r="J44" s="10"/>
    </row>
    <row r="45" spans="2:13" hidden="1" x14ac:dyDescent="0.3">
      <c r="B45" s="33">
        <v>40</v>
      </c>
      <c r="C45" s="67"/>
      <c r="D45" s="94"/>
      <c r="E45" s="95"/>
      <c r="F45" s="96"/>
      <c r="G45" s="96"/>
      <c r="H45" s="41"/>
      <c r="I45" s="23"/>
      <c r="J45" s="10"/>
    </row>
    <row r="46" spans="2:13" x14ac:dyDescent="0.3">
      <c r="B46" s="5"/>
      <c r="C46" s="5"/>
      <c r="D46" s="6"/>
      <c r="E46" s="6"/>
      <c r="F46" s="6"/>
      <c r="G46" s="6"/>
      <c r="H46" s="6"/>
      <c r="I46" s="6"/>
      <c r="J46" s="5"/>
      <c r="K46" s="1"/>
      <c r="M46" s="32"/>
    </row>
    <row r="47" spans="2:13" x14ac:dyDescent="0.3">
      <c r="B47" s="8" t="s">
        <v>27</v>
      </c>
      <c r="C47" s="5"/>
      <c r="D47" s="6"/>
      <c r="E47" s="6"/>
      <c r="F47" s="6"/>
      <c r="G47" s="6"/>
      <c r="H47" s="6"/>
      <c r="I47" s="6"/>
      <c r="J47" s="5"/>
      <c r="K47" s="1"/>
    </row>
    <row r="48" spans="2:13" x14ac:dyDescent="0.3">
      <c r="B48" s="9" t="s">
        <v>28</v>
      </c>
      <c r="C48" s="5"/>
      <c r="D48" s="6"/>
      <c r="E48" s="6"/>
      <c r="F48" s="6"/>
      <c r="G48" s="6"/>
      <c r="H48" s="6"/>
      <c r="I48" s="6"/>
      <c r="J48" s="5"/>
      <c r="K48" s="1"/>
    </row>
    <row r="49" spans="2:11" x14ac:dyDescent="0.3">
      <c r="B49" s="9" t="s">
        <v>29</v>
      </c>
      <c r="C49" s="5"/>
      <c r="D49" s="6"/>
      <c r="E49" s="6"/>
      <c r="F49" s="6"/>
      <c r="G49" s="6"/>
      <c r="H49" s="6"/>
      <c r="I49" s="6"/>
      <c r="J49" s="5"/>
      <c r="K49" s="1"/>
    </row>
    <row r="50" spans="2:11" x14ac:dyDescent="0.3">
      <c r="B50" s="9" t="s">
        <v>30</v>
      </c>
      <c r="C50" s="5"/>
      <c r="D50" s="6"/>
      <c r="E50" s="6"/>
      <c r="F50" s="6"/>
      <c r="G50" s="6"/>
      <c r="H50" s="6"/>
      <c r="I50" s="6"/>
      <c r="J50" s="5"/>
      <c r="K50" s="1"/>
    </row>
    <row r="51" spans="2:11" x14ac:dyDescent="0.3">
      <c r="B51" s="9"/>
      <c r="C51" s="5"/>
      <c r="D51" s="6"/>
      <c r="E51" s="6"/>
      <c r="F51" s="6"/>
      <c r="G51" s="6"/>
      <c r="H51" s="6"/>
      <c r="I51" s="6"/>
      <c r="J51" s="5"/>
      <c r="K51" s="1"/>
    </row>
    <row r="52" spans="2:11" x14ac:dyDescent="0.3">
      <c r="B52" s="9"/>
      <c r="C52" s="5"/>
      <c r="D52" s="6"/>
      <c r="E52" s="6"/>
      <c r="F52" s="6"/>
      <c r="G52" s="6"/>
      <c r="H52" s="6"/>
      <c r="I52" s="6"/>
      <c r="J52" s="5"/>
      <c r="K52" s="1"/>
    </row>
    <row r="53" spans="2:11" ht="18" x14ac:dyDescent="0.35">
      <c r="B53" s="10"/>
      <c r="C53" s="10"/>
      <c r="D53" s="164" t="s">
        <v>31</v>
      </c>
      <c r="E53" s="164"/>
      <c r="F53" s="164"/>
      <c r="G53" s="164"/>
      <c r="H53" s="164"/>
      <c r="I53" s="164"/>
      <c r="J53" s="10"/>
    </row>
    <row r="54" spans="2:11" s="28" customFormat="1" ht="15.6" x14ac:dyDescent="0.3">
      <c r="B54" s="24"/>
      <c r="C54" s="24"/>
      <c r="D54" s="170" t="s">
        <v>35</v>
      </c>
      <c r="E54" s="170"/>
      <c r="F54" s="170"/>
      <c r="G54" s="170"/>
      <c r="H54" s="170"/>
      <c r="I54" s="170"/>
      <c r="J54" s="24"/>
    </row>
    <row r="55" spans="2:11" ht="15.9" customHeight="1" x14ac:dyDescent="0.3">
      <c r="B55" s="132" t="s">
        <v>89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52" t="s">
        <v>6</v>
      </c>
      <c r="E56" s="153"/>
      <c r="F56" s="153"/>
      <c r="G56" s="154"/>
      <c r="H56" s="143" t="s">
        <v>7</v>
      </c>
      <c r="I56" s="144"/>
      <c r="J56" s="4"/>
    </row>
    <row r="57" spans="2:11" x14ac:dyDescent="0.3">
      <c r="B57" s="12"/>
      <c r="C57" s="13"/>
      <c r="D57" s="155" t="s">
        <v>9</v>
      </c>
      <c r="E57" s="156"/>
      <c r="F57" s="156"/>
      <c r="G57" s="157"/>
      <c r="H57" s="145"/>
      <c r="I57" s="146"/>
      <c r="J57" s="4"/>
    </row>
    <row r="58" spans="2:11" ht="14.4" customHeight="1" x14ac:dyDescent="0.3">
      <c r="B58" s="111" t="s">
        <v>10</v>
      </c>
      <c r="C58" s="113" t="s">
        <v>11</v>
      </c>
      <c r="D58" s="44" t="s">
        <v>12</v>
      </c>
      <c r="E58" s="44" t="s">
        <v>13</v>
      </c>
      <c r="F58" s="44" t="s">
        <v>14</v>
      </c>
      <c r="G58" s="44" t="s">
        <v>15</v>
      </c>
      <c r="H58" s="139" t="s">
        <v>16</v>
      </c>
      <c r="I58" s="141" t="s">
        <v>17</v>
      </c>
      <c r="J58" s="17"/>
    </row>
    <row r="59" spans="2:11" ht="38.4" customHeight="1" x14ac:dyDescent="0.3">
      <c r="B59" s="112"/>
      <c r="C59" s="114"/>
      <c r="D59" s="165" t="s">
        <v>20</v>
      </c>
      <c r="E59" s="166"/>
      <c r="F59" s="166"/>
      <c r="G59" s="167"/>
      <c r="H59" s="140"/>
      <c r="I59" s="142"/>
      <c r="J59" s="17"/>
    </row>
    <row r="60" spans="2:11" x14ac:dyDescent="0.3">
      <c r="B60" s="33">
        <v>4</v>
      </c>
      <c r="C60" s="31" t="s">
        <v>21</v>
      </c>
      <c r="D60" s="18">
        <v>607068.43999999994</v>
      </c>
      <c r="E60" s="18">
        <v>0</v>
      </c>
      <c r="F60" s="36">
        <f>+D60+E60</f>
        <v>607068.43999999994</v>
      </c>
      <c r="G60" s="18">
        <f>+F60</f>
        <v>607068.43999999994</v>
      </c>
      <c r="H60" s="37">
        <f t="shared" ref="H60:H80" si="19">((G60-I60)/I60)*100</f>
        <v>339.17271214642255</v>
      </c>
      <c r="I60" s="18">
        <v>138230</v>
      </c>
      <c r="J60" s="19"/>
    </row>
    <row r="61" spans="2:11" x14ac:dyDescent="0.3">
      <c r="B61" s="33">
        <v>5</v>
      </c>
      <c r="C61" s="31" t="s">
        <v>22</v>
      </c>
      <c r="D61" s="23">
        <v>4089168.8</v>
      </c>
      <c r="E61" s="23">
        <v>0</v>
      </c>
      <c r="F61" s="40">
        <f>+E61+D61</f>
        <v>4089168.8</v>
      </c>
      <c r="G61" s="23">
        <f>+G60+F61</f>
        <v>4696237.24</v>
      </c>
      <c r="H61" s="41">
        <f t="shared" si="19"/>
        <v>147.87044415722741</v>
      </c>
      <c r="I61" s="23">
        <f>+I60+1756403.81</f>
        <v>1894633.81</v>
      </c>
      <c r="J61" s="19"/>
    </row>
    <row r="62" spans="2:11" x14ac:dyDescent="0.3">
      <c r="B62" s="33">
        <v>6</v>
      </c>
      <c r="C62" s="31" t="s">
        <v>23</v>
      </c>
      <c r="D62" s="23">
        <f>5584467.11-79989</f>
        <v>5504478.1100000003</v>
      </c>
      <c r="E62" s="23">
        <f>22759+57230</f>
        <v>79989</v>
      </c>
      <c r="F62" s="40">
        <f>+E62+D62</f>
        <v>5584467.1100000003</v>
      </c>
      <c r="G62" s="23">
        <f t="shared" ref="G62" si="20">+G61+F62</f>
        <v>10280704.350000001</v>
      </c>
      <c r="H62" s="41">
        <f t="shared" si="19"/>
        <v>197.89509806777991</v>
      </c>
      <c r="I62" s="23">
        <f>+I61+1556481.84</f>
        <v>3451115.6500000004</v>
      </c>
      <c r="J62" s="19"/>
    </row>
    <row r="63" spans="2:11" x14ac:dyDescent="0.3">
      <c r="B63" s="33">
        <v>7</v>
      </c>
      <c r="C63" s="31" t="s">
        <v>24</v>
      </c>
      <c r="D63" s="23">
        <v>2246964.02</v>
      </c>
      <c r="E63" s="23">
        <v>2731342</v>
      </c>
      <c r="F63" s="40">
        <f t="shared" ref="F63:F75" si="21">+E63+D63</f>
        <v>4978306.0199999996</v>
      </c>
      <c r="G63" s="23">
        <f>+G62+F63</f>
        <v>15259010.370000001</v>
      </c>
      <c r="H63" s="41">
        <f t="shared" si="19"/>
        <v>120.9948176844611</v>
      </c>
      <c r="I63" s="23">
        <f>+I62+3453575.84</f>
        <v>6904691.4900000002</v>
      </c>
      <c r="J63" s="19"/>
    </row>
    <row r="64" spans="2:11" x14ac:dyDescent="0.3">
      <c r="B64" s="33">
        <v>8</v>
      </c>
      <c r="C64" s="31" t="s">
        <v>25</v>
      </c>
      <c r="D64" s="23">
        <v>4496067.58</v>
      </c>
      <c r="E64" s="23">
        <v>0</v>
      </c>
      <c r="F64" s="40">
        <f t="shared" si="21"/>
        <v>4496067.58</v>
      </c>
      <c r="G64" s="23">
        <f t="shared" ref="G64:G75" si="22">+G63+F64</f>
        <v>19755077.950000003</v>
      </c>
      <c r="H64" s="41">
        <f t="shared" si="19"/>
        <v>75.44608122474969</v>
      </c>
      <c r="I64" s="23">
        <v>11259914.050000001</v>
      </c>
      <c r="J64" s="19"/>
    </row>
    <row r="65" spans="2:10" x14ac:dyDescent="0.3">
      <c r="B65" s="33">
        <v>9</v>
      </c>
      <c r="C65" s="31" t="s">
        <v>26</v>
      </c>
      <c r="D65" s="23">
        <v>3394425.52</v>
      </c>
      <c r="E65" s="23">
        <v>3035</v>
      </c>
      <c r="F65" s="40">
        <f t="shared" si="21"/>
        <v>3397460.52</v>
      </c>
      <c r="G65" s="23">
        <f t="shared" si="22"/>
        <v>23152538.470000003</v>
      </c>
      <c r="H65" s="41">
        <f t="shared" si="19"/>
        <v>48.811204713537236</v>
      </c>
      <c r="I65" s="23">
        <f>+I64+4298416.06</f>
        <v>15558330.109999999</v>
      </c>
      <c r="J65" s="19"/>
    </row>
    <row r="66" spans="2:10" x14ac:dyDescent="0.3">
      <c r="B66" s="33">
        <v>10</v>
      </c>
      <c r="C66" s="31" t="s">
        <v>55</v>
      </c>
      <c r="D66" s="23">
        <v>7103794.5199999996</v>
      </c>
      <c r="E66" s="23">
        <v>34326.5</v>
      </c>
      <c r="F66" s="40">
        <f t="shared" si="21"/>
        <v>7138121.0199999996</v>
      </c>
      <c r="G66" s="23">
        <f t="shared" si="22"/>
        <v>30290659.490000002</v>
      </c>
      <c r="H66" s="41">
        <f t="shared" si="19"/>
        <v>41.202731407376085</v>
      </c>
      <c r="I66" s="23">
        <f>+I65+5893563.34</f>
        <v>21451893.449999999</v>
      </c>
      <c r="J66" s="19"/>
    </row>
    <row r="67" spans="2:10" x14ac:dyDescent="0.3">
      <c r="B67" s="33">
        <v>11</v>
      </c>
      <c r="C67" s="31" t="s">
        <v>56</v>
      </c>
      <c r="D67" s="23">
        <v>5533656.0199999996</v>
      </c>
      <c r="E67" s="23">
        <v>0</v>
      </c>
      <c r="F67" s="40">
        <f t="shared" si="21"/>
        <v>5533656.0199999996</v>
      </c>
      <c r="G67" s="23">
        <f t="shared" si="22"/>
        <v>35824315.510000005</v>
      </c>
      <c r="H67" s="41">
        <f t="shared" si="19"/>
        <v>38.121816205521981</v>
      </c>
      <c r="I67" s="23">
        <f>+I66+4484860.42</f>
        <v>25936753.869999997</v>
      </c>
      <c r="J67" s="19"/>
    </row>
    <row r="68" spans="2:10" x14ac:dyDescent="0.3">
      <c r="B68" s="33">
        <v>12</v>
      </c>
      <c r="C68" s="31" t="s">
        <v>71</v>
      </c>
      <c r="D68" s="23">
        <v>5066111.51</v>
      </c>
      <c r="E68" s="23">
        <v>0</v>
      </c>
      <c r="F68" s="40">
        <f t="shared" si="21"/>
        <v>5066111.51</v>
      </c>
      <c r="G68" s="23">
        <f t="shared" si="22"/>
        <v>40890427.020000003</v>
      </c>
      <c r="H68" s="41">
        <f t="shared" si="19"/>
        <v>32.626283435978749</v>
      </c>
      <c r="I68" s="23">
        <f>+I67+4894560.98</f>
        <v>30831314.849999998</v>
      </c>
      <c r="J68" s="19"/>
    </row>
    <row r="69" spans="2:10" x14ac:dyDescent="0.3">
      <c r="B69" s="33">
        <v>13</v>
      </c>
      <c r="C69" s="31" t="s">
        <v>57</v>
      </c>
      <c r="D69" s="23">
        <v>2617583.71</v>
      </c>
      <c r="E69" s="23">
        <v>-12755</v>
      </c>
      <c r="F69" s="40">
        <f t="shared" si="21"/>
        <v>2604828.71</v>
      </c>
      <c r="G69" s="23">
        <f t="shared" si="22"/>
        <v>43495255.730000004</v>
      </c>
      <c r="H69" s="41">
        <f t="shared" si="19"/>
        <v>27.444715692268566</v>
      </c>
      <c r="I69" s="23">
        <v>34128724.359999999</v>
      </c>
      <c r="J69" s="19"/>
    </row>
    <row r="70" spans="2:10" x14ac:dyDescent="0.3">
      <c r="B70" s="33">
        <v>14</v>
      </c>
      <c r="C70" s="49" t="s">
        <v>58</v>
      </c>
      <c r="D70" s="23">
        <v>952765.01</v>
      </c>
      <c r="E70" s="23">
        <v>179717.5</v>
      </c>
      <c r="F70" s="40">
        <f t="shared" si="21"/>
        <v>1132482.51</v>
      </c>
      <c r="G70" s="23">
        <f t="shared" si="22"/>
        <v>44627738.240000002</v>
      </c>
      <c r="H70" s="41">
        <f t="shared" si="19"/>
        <v>16.992601030771159</v>
      </c>
      <c r="I70" s="23">
        <f>+I69+4017053.96</f>
        <v>38145778.32</v>
      </c>
      <c r="J70" s="19"/>
    </row>
    <row r="71" spans="2:10" x14ac:dyDescent="0.3">
      <c r="B71" s="33">
        <v>15</v>
      </c>
      <c r="C71" s="31" t="s">
        <v>59</v>
      </c>
      <c r="D71" s="23">
        <v>1120004.5</v>
      </c>
      <c r="E71" s="23">
        <v>0</v>
      </c>
      <c r="F71" s="40">
        <f t="shared" si="21"/>
        <v>1120004.5</v>
      </c>
      <c r="G71" s="23">
        <f t="shared" si="22"/>
        <v>45747742.740000002</v>
      </c>
      <c r="H71" s="41">
        <f t="shared" si="19"/>
        <v>13.414678641917927</v>
      </c>
      <c r="I71" s="23">
        <f>+I70+2190925.26</f>
        <v>40336703.579999998</v>
      </c>
      <c r="J71" s="19"/>
    </row>
    <row r="72" spans="2:10" x14ac:dyDescent="0.3">
      <c r="B72" s="33">
        <v>16</v>
      </c>
      <c r="C72" s="31" t="s">
        <v>60</v>
      </c>
      <c r="D72" s="23">
        <v>1503171.33</v>
      </c>
      <c r="E72" s="23">
        <v>0</v>
      </c>
      <c r="F72" s="40">
        <f t="shared" si="21"/>
        <v>1503171.33</v>
      </c>
      <c r="G72" s="23">
        <f t="shared" si="22"/>
        <v>47250914.07</v>
      </c>
      <c r="H72" s="41">
        <f t="shared" si="19"/>
        <v>10.691480273488089</v>
      </c>
      <c r="I72" s="23">
        <v>42687037.840000004</v>
      </c>
      <c r="J72" s="19"/>
    </row>
    <row r="73" spans="2:10" x14ac:dyDescent="0.3">
      <c r="B73" s="33">
        <v>17</v>
      </c>
      <c r="C73" s="31" t="s">
        <v>61</v>
      </c>
      <c r="D73" s="23">
        <v>381239</v>
      </c>
      <c r="E73" s="23">
        <v>135843</v>
      </c>
      <c r="F73" s="40">
        <f t="shared" si="21"/>
        <v>517082</v>
      </c>
      <c r="G73" s="23">
        <f t="shared" si="22"/>
        <v>47767996.07</v>
      </c>
      <c r="H73" s="41">
        <f t="shared" si="19"/>
        <v>8.9132331179229443</v>
      </c>
      <c r="I73" s="23">
        <f>+I72+1171724.5</f>
        <v>43858762.340000004</v>
      </c>
      <c r="J73" s="19"/>
    </row>
    <row r="74" spans="2:10" x14ac:dyDescent="0.3">
      <c r="B74" s="33">
        <v>18</v>
      </c>
      <c r="C74" s="31" t="s">
        <v>62</v>
      </c>
      <c r="D74" s="23">
        <v>120453</v>
      </c>
      <c r="E74" s="23">
        <v>0</v>
      </c>
      <c r="F74" s="40">
        <f t="shared" si="21"/>
        <v>120453</v>
      </c>
      <c r="G74" s="23">
        <f t="shared" si="22"/>
        <v>47888449.07</v>
      </c>
      <c r="H74" s="41">
        <f t="shared" si="19"/>
        <v>3.7733708962282586</v>
      </c>
      <c r="I74" s="23">
        <f>+I73+2288383.75</f>
        <v>46147146.090000004</v>
      </c>
      <c r="J74" s="19"/>
    </row>
    <row r="75" spans="2:10" x14ac:dyDescent="0.3">
      <c r="B75" s="33">
        <v>19</v>
      </c>
      <c r="C75" s="31" t="s">
        <v>63</v>
      </c>
      <c r="D75" s="23">
        <v>581257.5</v>
      </c>
      <c r="E75" s="23">
        <v>0</v>
      </c>
      <c r="F75" s="40">
        <f t="shared" si="21"/>
        <v>581257.5</v>
      </c>
      <c r="G75" s="23">
        <f t="shared" si="22"/>
        <v>48469706.57</v>
      </c>
      <c r="H75" s="41">
        <f t="shared" si="19"/>
        <v>3.2223790435278183</v>
      </c>
      <c r="I75" s="23">
        <f>+I74+809441.25</f>
        <v>46956587.340000004</v>
      </c>
      <c r="J75" s="19"/>
    </row>
    <row r="76" spans="2:10" x14ac:dyDescent="0.3">
      <c r="B76" s="33">
        <v>20</v>
      </c>
      <c r="C76" s="31" t="s">
        <v>64</v>
      </c>
      <c r="D76" s="23">
        <v>62924</v>
      </c>
      <c r="E76" s="23">
        <v>-19420</v>
      </c>
      <c r="F76" s="40">
        <f t="shared" ref="F76:F82" si="23">+E76+D76</f>
        <v>43504</v>
      </c>
      <c r="G76" s="23">
        <f t="shared" ref="G76:G82" si="24">+G75+F76</f>
        <v>48513210.57</v>
      </c>
      <c r="H76" s="41">
        <f t="shared" si="19"/>
        <v>2.4091298185017616</v>
      </c>
      <c r="I76" s="23">
        <f>+I75+415371.25</f>
        <v>47371958.590000004</v>
      </c>
      <c r="J76" s="19"/>
    </row>
    <row r="77" spans="2:10" x14ac:dyDescent="0.3">
      <c r="B77" s="33">
        <v>21</v>
      </c>
      <c r="C77" s="31" t="s">
        <v>65</v>
      </c>
      <c r="D77" s="23">
        <v>75637.5</v>
      </c>
      <c r="E77" s="23">
        <v>0</v>
      </c>
      <c r="F77" s="40">
        <f t="shared" si="23"/>
        <v>75637.5</v>
      </c>
      <c r="G77" s="23">
        <f t="shared" si="24"/>
        <v>48588848.07</v>
      </c>
      <c r="H77" s="41">
        <f t="shared" si="19"/>
        <v>1.3537887861421884</v>
      </c>
      <c r="I77" s="23">
        <f>+I76+567885.25</f>
        <v>47939843.840000004</v>
      </c>
      <c r="J77" s="19"/>
    </row>
    <row r="78" spans="2:10" x14ac:dyDescent="0.3">
      <c r="B78" s="33">
        <v>22</v>
      </c>
      <c r="C78" s="31" t="s">
        <v>66</v>
      </c>
      <c r="D78" s="23">
        <v>113363.5</v>
      </c>
      <c r="E78" s="23">
        <v>0</v>
      </c>
      <c r="F78" s="40">
        <f t="shared" si="23"/>
        <v>113363.5</v>
      </c>
      <c r="G78" s="23">
        <f t="shared" si="24"/>
        <v>48702211.57</v>
      </c>
      <c r="H78" s="41">
        <f t="shared" si="19"/>
        <v>1.4227919458788489</v>
      </c>
      <c r="I78" s="23">
        <f>+I77+79157.25</f>
        <v>48019001.090000004</v>
      </c>
      <c r="J78" s="19"/>
    </row>
    <row r="79" spans="2:10" x14ac:dyDescent="0.3">
      <c r="B79" s="33">
        <v>23</v>
      </c>
      <c r="C79" s="31" t="s">
        <v>76</v>
      </c>
      <c r="D79" s="23">
        <v>222278.5</v>
      </c>
      <c r="E79" s="23">
        <f>+' Specific add product detail'!E77</f>
        <v>-69279</v>
      </c>
      <c r="F79" s="40">
        <f t="shared" si="23"/>
        <v>152999.5</v>
      </c>
      <c r="G79" s="23">
        <f t="shared" si="24"/>
        <v>48855211.07</v>
      </c>
      <c r="H79" s="41">
        <f t="shared" si="19"/>
        <v>1.6976692547168697</v>
      </c>
      <c r="I79" s="23">
        <f>+I78+20655.5</f>
        <v>48039656.590000004</v>
      </c>
      <c r="J79" s="19"/>
    </row>
    <row r="80" spans="2:10" x14ac:dyDescent="0.3">
      <c r="B80" s="33">
        <v>24</v>
      </c>
      <c r="C80" s="31" t="s">
        <v>68</v>
      </c>
      <c r="D80" s="23">
        <v>37973</v>
      </c>
      <c r="E80" s="23">
        <v>0</v>
      </c>
      <c r="F80" s="40">
        <f t="shared" si="23"/>
        <v>37973</v>
      </c>
      <c r="G80" s="23">
        <f t="shared" si="24"/>
        <v>48893184.07</v>
      </c>
      <c r="H80" s="41">
        <f t="shared" si="19"/>
        <v>1.7868540956866721</v>
      </c>
      <c r="I80" s="23">
        <f>+I79-4785.58</f>
        <v>48034871.010000005</v>
      </c>
      <c r="J80" s="19"/>
    </row>
    <row r="81" spans="2:10" x14ac:dyDescent="0.3">
      <c r="B81" s="33">
        <v>25</v>
      </c>
      <c r="C81" s="67" t="s">
        <v>77</v>
      </c>
      <c r="D81" s="23">
        <v>74172</v>
      </c>
      <c r="E81" s="23">
        <v>0</v>
      </c>
      <c r="F81" s="40">
        <f t="shared" si="23"/>
        <v>74172</v>
      </c>
      <c r="G81" s="23">
        <f t="shared" si="24"/>
        <v>48967356.07</v>
      </c>
      <c r="H81" s="41">
        <f t="shared" ref="H81" si="25">((G81-I81)/I81)*100</f>
        <v>1.9412669179560575</v>
      </c>
      <c r="I81" s="23">
        <f>+I80+0</f>
        <v>48034871.010000005</v>
      </c>
      <c r="J81" s="19"/>
    </row>
    <row r="82" spans="2:10" x14ac:dyDescent="0.3">
      <c r="B82" s="97">
        <v>26</v>
      </c>
      <c r="C82" s="93" t="s">
        <v>70</v>
      </c>
      <c r="D82" s="94">
        <v>52969.9</v>
      </c>
      <c r="E82" s="95">
        <v>37775</v>
      </c>
      <c r="F82" s="96">
        <f t="shared" si="23"/>
        <v>90744.9</v>
      </c>
      <c r="G82" s="95">
        <f t="shared" si="24"/>
        <v>49058100.969999999</v>
      </c>
      <c r="H82" s="41">
        <f t="shared" ref="H82" si="26">((G82-I82)/I82)*100</f>
        <v>2.1301815503719688</v>
      </c>
      <c r="I82" s="23">
        <f>+I81+0</f>
        <v>48034871.010000005</v>
      </c>
      <c r="J82" s="19"/>
    </row>
    <row r="83" spans="2:10" x14ac:dyDescent="0.3">
      <c r="B83" s="97">
        <v>27</v>
      </c>
      <c r="C83" s="93" t="s">
        <v>79</v>
      </c>
      <c r="D83" s="94">
        <v>32188.5</v>
      </c>
      <c r="E83" s="95">
        <v>0</v>
      </c>
      <c r="F83" s="96">
        <f t="shared" ref="F83:F84" si="27">+E83+D83</f>
        <v>32188.5</v>
      </c>
      <c r="G83" s="95">
        <f t="shared" ref="G83:G84" si="28">+G82+F83</f>
        <v>49090289.469999999</v>
      </c>
      <c r="H83" s="41">
        <f t="shared" ref="H83:H84" si="29">((G83-I83)/I83)*100</f>
        <v>2.1971922434855169</v>
      </c>
      <c r="I83" s="23">
        <f>+I82+0</f>
        <v>48034871.010000005</v>
      </c>
      <c r="J83" s="19"/>
    </row>
    <row r="84" spans="2:10" x14ac:dyDescent="0.3">
      <c r="B84" s="33">
        <v>28</v>
      </c>
      <c r="C84" s="93" t="s">
        <v>80</v>
      </c>
      <c r="D84" s="94">
        <v>34830</v>
      </c>
      <c r="E84" s="95">
        <v>-195777</v>
      </c>
      <c r="F84" s="96">
        <f t="shared" si="27"/>
        <v>-160947</v>
      </c>
      <c r="G84" s="95">
        <f t="shared" si="28"/>
        <v>48929342.469999999</v>
      </c>
      <c r="H84" s="41">
        <f t="shared" si="29"/>
        <v>1.8670570019358883</v>
      </c>
      <c r="I84" s="23">
        <f>+I83-2323.58</f>
        <v>48032547.430000007</v>
      </c>
      <c r="J84" s="19"/>
    </row>
    <row r="85" spans="2:10" x14ac:dyDescent="0.3">
      <c r="B85" s="97">
        <v>29</v>
      </c>
      <c r="C85" s="67" t="s">
        <v>81</v>
      </c>
      <c r="D85" s="94">
        <v>11761</v>
      </c>
      <c r="E85" s="95">
        <v>0</v>
      </c>
      <c r="F85" s="96">
        <f t="shared" ref="F85:F88" si="30">+E85+D85</f>
        <v>11761</v>
      </c>
      <c r="G85" s="95">
        <f t="shared" ref="G85:G88" si="31">+G84+F85</f>
        <v>48941103.469999999</v>
      </c>
      <c r="H85" s="41">
        <f t="shared" ref="H85:H91" si="32">((G85-I85)/I85)*100</f>
        <v>1.8964717358900873</v>
      </c>
      <c r="I85" s="23">
        <f t="shared" ref="I85:I89" si="33">+I84-2323.58</f>
        <v>48030223.850000009</v>
      </c>
      <c r="J85" s="10"/>
    </row>
    <row r="86" spans="2:10" x14ac:dyDescent="0.3">
      <c r="B86" s="97">
        <v>30</v>
      </c>
      <c r="C86" s="67" t="s">
        <v>82</v>
      </c>
      <c r="D86" s="94">
        <v>878</v>
      </c>
      <c r="E86" s="95">
        <v>0</v>
      </c>
      <c r="F86" s="96">
        <f t="shared" si="30"/>
        <v>878</v>
      </c>
      <c r="G86" s="95">
        <f t="shared" si="31"/>
        <v>48941981.469999999</v>
      </c>
      <c r="H86" s="41">
        <f t="shared" si="32"/>
        <v>1.9032295704398234</v>
      </c>
      <c r="I86" s="23">
        <f t="shared" si="33"/>
        <v>48027900.270000011</v>
      </c>
      <c r="J86" s="10"/>
    </row>
    <row r="87" spans="2:10" x14ac:dyDescent="0.3">
      <c r="B87" s="33">
        <v>31</v>
      </c>
      <c r="C87" s="67" t="s">
        <v>83</v>
      </c>
      <c r="D87" s="94">
        <v>3129</v>
      </c>
      <c r="E87" s="95">
        <v>0</v>
      </c>
      <c r="F87" s="96">
        <f t="shared" si="30"/>
        <v>3129</v>
      </c>
      <c r="G87" s="95">
        <f t="shared" si="31"/>
        <v>48945110.469999999</v>
      </c>
      <c r="H87" s="41">
        <f t="shared" si="32"/>
        <v>1.914675144736895</v>
      </c>
      <c r="I87" s="23">
        <f t="shared" si="33"/>
        <v>48025576.690000013</v>
      </c>
      <c r="J87" s="10"/>
    </row>
    <row r="88" spans="2:10" x14ac:dyDescent="0.3">
      <c r="B88" s="97">
        <v>32</v>
      </c>
      <c r="C88" s="67" t="s">
        <v>84</v>
      </c>
      <c r="D88" s="94">
        <v>16530</v>
      </c>
      <c r="E88" s="95">
        <v>0</v>
      </c>
      <c r="F88" s="96">
        <f t="shared" si="30"/>
        <v>16530</v>
      </c>
      <c r="G88" s="95">
        <f t="shared" si="31"/>
        <v>48961640.469999999</v>
      </c>
      <c r="H88" s="41">
        <f t="shared" si="32"/>
        <v>1.9540270582056456</v>
      </c>
      <c r="I88" s="23">
        <f t="shared" si="33"/>
        <v>48023253.110000014</v>
      </c>
      <c r="J88" s="10"/>
    </row>
    <row r="89" spans="2:10" x14ac:dyDescent="0.3">
      <c r="B89" s="97">
        <v>33</v>
      </c>
      <c r="C89" s="67" t="s">
        <v>85</v>
      </c>
      <c r="D89" s="94">
        <v>2426.5</v>
      </c>
      <c r="E89" s="95">
        <f>32871+33510-14392+2414</f>
        <v>54403</v>
      </c>
      <c r="F89" s="96">
        <v>56829.5</v>
      </c>
      <c r="G89" s="95">
        <f>+G88+F89</f>
        <v>49018469.969999999</v>
      </c>
      <c r="H89" s="41">
        <f t="shared" si="32"/>
        <v>2.0773034794688665</v>
      </c>
      <c r="I89" s="23">
        <f t="shared" si="33"/>
        <v>48020929.530000016</v>
      </c>
      <c r="J89" s="10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49018469.969999999</v>
      </c>
      <c r="H90" s="41">
        <f t="shared" si="32"/>
        <v>2.0773034794688665</v>
      </c>
      <c r="I90" s="23">
        <f t="shared" ref="I90:I91" si="34">+I89+0</f>
        <v>48020929.530000016</v>
      </c>
      <c r="J90" s="10"/>
    </row>
    <row r="91" spans="2:10" x14ac:dyDescent="0.3">
      <c r="B91" s="33">
        <v>35</v>
      </c>
      <c r="C91" s="67" t="s">
        <v>86</v>
      </c>
      <c r="D91" s="23">
        <v>968</v>
      </c>
      <c r="E91" s="23">
        <v>0</v>
      </c>
      <c r="F91" s="40">
        <f>+E91+D91</f>
        <v>968</v>
      </c>
      <c r="G91" s="40">
        <f>+G90+F91</f>
        <v>49019437.969999999</v>
      </c>
      <c r="H91" s="41">
        <f t="shared" si="32"/>
        <v>2.0793192671878344</v>
      </c>
      <c r="I91" s="23">
        <f t="shared" si="34"/>
        <v>48020929.530000016</v>
      </c>
      <c r="J91" s="10"/>
    </row>
    <row r="92" spans="2:10" hidden="1" x14ac:dyDescent="0.3">
      <c r="B92" s="97">
        <v>36</v>
      </c>
      <c r="C92" s="67"/>
      <c r="D92" s="94"/>
      <c r="E92" s="95"/>
      <c r="F92" s="96"/>
      <c r="G92" s="96"/>
      <c r="H92" s="41"/>
      <c r="I92" s="23"/>
      <c r="J92" s="10"/>
    </row>
    <row r="93" spans="2:10" hidden="1" x14ac:dyDescent="0.3">
      <c r="B93" s="33">
        <v>37</v>
      </c>
      <c r="C93" s="67"/>
      <c r="D93" s="94"/>
      <c r="E93" s="95"/>
      <c r="F93" s="96"/>
      <c r="G93" s="96"/>
      <c r="H93" s="41"/>
      <c r="I93" s="23"/>
      <c r="J93" s="10"/>
    </row>
    <row r="94" spans="2:10" hidden="1" x14ac:dyDescent="0.3">
      <c r="B94" s="97">
        <v>38</v>
      </c>
      <c r="C94" s="67"/>
      <c r="D94" s="94"/>
      <c r="E94" s="95"/>
      <c r="F94" s="96"/>
      <c r="G94" s="96"/>
      <c r="H94" s="41"/>
      <c r="I94" s="23"/>
      <c r="J94" s="10"/>
    </row>
    <row r="95" spans="2:10" hidden="1" x14ac:dyDescent="0.3">
      <c r="B95" s="97">
        <v>39</v>
      </c>
      <c r="C95" s="67"/>
      <c r="D95" s="94"/>
      <c r="E95" s="95"/>
      <c r="F95" s="96"/>
      <c r="G95" s="96"/>
      <c r="H95" s="41"/>
      <c r="I95" s="23"/>
      <c r="J95" s="10"/>
    </row>
    <row r="96" spans="2:10" hidden="1" x14ac:dyDescent="0.3">
      <c r="B96" s="33">
        <v>40</v>
      </c>
      <c r="C96" s="67"/>
      <c r="D96" s="94"/>
      <c r="E96" s="95"/>
      <c r="F96" s="96"/>
      <c r="G96" s="96"/>
      <c r="H96" s="41"/>
      <c r="I96" s="23"/>
      <c r="J96" s="10"/>
    </row>
    <row r="97" spans="2:10" x14ac:dyDescent="0.3">
      <c r="B97" s="5"/>
      <c r="C97" s="5"/>
      <c r="D97" s="6"/>
      <c r="E97" s="6"/>
      <c r="F97" s="6"/>
      <c r="G97" s="6"/>
      <c r="H97" s="6"/>
      <c r="I97" s="6"/>
      <c r="J97" s="5"/>
    </row>
    <row r="98" spans="2:10" x14ac:dyDescent="0.3">
      <c r="B98" s="8" t="s">
        <v>27</v>
      </c>
      <c r="C98" s="5"/>
      <c r="D98" s="6"/>
      <c r="E98" s="6"/>
      <c r="F98" s="6"/>
      <c r="G98" s="6"/>
      <c r="H98" s="6"/>
      <c r="I98" s="6"/>
      <c r="J98" s="5"/>
    </row>
    <row r="99" spans="2:10" x14ac:dyDescent="0.3">
      <c r="B99" s="9" t="s">
        <v>28</v>
      </c>
      <c r="C99" s="5"/>
      <c r="D99" s="6"/>
      <c r="E99" s="6"/>
      <c r="F99" s="6"/>
      <c r="G99" s="6"/>
      <c r="H99" s="6"/>
      <c r="I99" s="6"/>
      <c r="J99" s="5"/>
    </row>
    <row r="100" spans="2:10" x14ac:dyDescent="0.3">
      <c r="B100" s="9" t="s">
        <v>29</v>
      </c>
      <c r="C100" s="5"/>
      <c r="D100" s="6"/>
      <c r="E100" s="6"/>
      <c r="F100" s="6"/>
      <c r="G100" s="6"/>
      <c r="H100" s="6"/>
      <c r="I100" s="6"/>
      <c r="J100" s="5"/>
    </row>
    <row r="101" spans="2:10" x14ac:dyDescent="0.3">
      <c r="B101" s="9" t="s">
        <v>30</v>
      </c>
      <c r="C101" s="5"/>
      <c r="D101" s="6"/>
      <c r="E101" s="6"/>
      <c r="F101" s="6"/>
      <c r="G101" s="6"/>
      <c r="H101" s="6"/>
      <c r="I101" s="6"/>
      <c r="J101" s="5"/>
    </row>
    <row r="102" spans="2:10" x14ac:dyDescent="0.3">
      <c r="B102" s="10"/>
      <c r="C102" s="10"/>
      <c r="D102" s="35"/>
      <c r="E102" s="35"/>
      <c r="F102" s="35"/>
      <c r="G102" s="35"/>
      <c r="H102" s="35"/>
      <c r="I102" s="35"/>
      <c r="J102" s="10"/>
    </row>
    <row r="103" spans="2:10" x14ac:dyDescent="0.3">
      <c r="B103" s="10"/>
      <c r="C103" s="10"/>
      <c r="D103" s="35"/>
      <c r="E103" s="35"/>
      <c r="F103" s="35"/>
      <c r="G103" s="35"/>
      <c r="H103" s="35"/>
      <c r="I103" s="35"/>
      <c r="J103" s="10"/>
    </row>
    <row r="104" spans="2:10" ht="18" x14ac:dyDescent="0.35">
      <c r="B104" s="10"/>
      <c r="C104" s="10"/>
      <c r="D104" s="158" t="s">
        <v>33</v>
      </c>
      <c r="E104" s="158"/>
      <c r="F104" s="158"/>
      <c r="G104" s="158"/>
      <c r="H104" s="158"/>
      <c r="I104" s="158"/>
      <c r="J104" s="10"/>
    </row>
    <row r="105" spans="2:10" s="28" customFormat="1" ht="15.6" x14ac:dyDescent="0.3">
      <c r="B105" s="24"/>
      <c r="C105" s="24"/>
      <c r="D105" s="168" t="s">
        <v>35</v>
      </c>
      <c r="E105" s="168"/>
      <c r="F105" s="168"/>
      <c r="G105" s="168"/>
      <c r="H105" s="168"/>
      <c r="I105" s="168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52" t="s">
        <v>6</v>
      </c>
      <c r="E107" s="153"/>
      <c r="F107" s="153"/>
      <c r="G107" s="154"/>
      <c r="H107" s="143" t="s">
        <v>7</v>
      </c>
      <c r="I107" s="144"/>
      <c r="J107" s="4"/>
    </row>
    <row r="108" spans="2:10" x14ac:dyDescent="0.3">
      <c r="B108" s="12"/>
      <c r="C108" s="13"/>
      <c r="D108" s="155" t="s">
        <v>9</v>
      </c>
      <c r="E108" s="156"/>
      <c r="F108" s="156"/>
      <c r="G108" s="157"/>
      <c r="H108" s="145"/>
      <c r="I108" s="146"/>
      <c r="J108" s="4"/>
    </row>
    <row r="109" spans="2:10" ht="14.4" customHeight="1" x14ac:dyDescent="0.3">
      <c r="B109" s="111" t="s">
        <v>10</v>
      </c>
      <c r="C109" s="113" t="s">
        <v>11</v>
      </c>
      <c r="D109" s="44" t="s">
        <v>12</v>
      </c>
      <c r="E109" s="44" t="s">
        <v>13</v>
      </c>
      <c r="F109" s="44" t="s">
        <v>14</v>
      </c>
      <c r="G109" s="44" t="s">
        <v>15</v>
      </c>
      <c r="H109" s="139" t="s">
        <v>16</v>
      </c>
      <c r="I109" s="141" t="s">
        <v>17</v>
      </c>
      <c r="J109" s="17"/>
    </row>
    <row r="110" spans="2:10" ht="37.65" customHeight="1" x14ac:dyDescent="0.3">
      <c r="B110" s="112"/>
      <c r="C110" s="114"/>
      <c r="D110" s="165" t="s">
        <v>20</v>
      </c>
      <c r="E110" s="166"/>
      <c r="F110" s="166"/>
      <c r="G110" s="167"/>
      <c r="H110" s="140"/>
      <c r="I110" s="142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e">
        <f t="shared" ref="H111:H131" si="35">((G111-I111)/I111)*100</f>
        <v>#DIV/0!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233713.08</v>
      </c>
      <c r="E112" s="23">
        <v>0</v>
      </c>
      <c r="F112" s="40">
        <f>+E112+D112</f>
        <v>233713.08</v>
      </c>
      <c r="G112" s="23">
        <f>+G111+F112</f>
        <v>233713.08</v>
      </c>
      <c r="H112" s="41">
        <f t="shared" si="35"/>
        <v>248.92668127488312</v>
      </c>
      <c r="I112" s="23">
        <v>66980.570000000007</v>
      </c>
      <c r="J112" s="19"/>
    </row>
    <row r="113" spans="2:10" x14ac:dyDescent="0.3">
      <c r="B113" s="33">
        <v>6</v>
      </c>
      <c r="C113" s="31" t="s">
        <v>23</v>
      </c>
      <c r="D113" s="23">
        <v>477400.58</v>
      </c>
      <c r="E113" s="23">
        <v>0</v>
      </c>
      <c r="F113" s="40">
        <f>+E113+D113</f>
        <v>477400.58</v>
      </c>
      <c r="G113" s="23">
        <f t="shared" ref="G113" si="36">+G112+F113</f>
        <v>711113.66</v>
      </c>
      <c r="H113" s="41">
        <f t="shared" si="35"/>
        <v>62.990274771891343</v>
      </c>
      <c r="I113" s="23">
        <f>+I112+369311.51</f>
        <v>436292.08</v>
      </c>
      <c r="J113" s="19"/>
    </row>
    <row r="114" spans="2:10" x14ac:dyDescent="0.3">
      <c r="B114" s="33">
        <v>7</v>
      </c>
      <c r="C114" s="31" t="s">
        <v>24</v>
      </c>
      <c r="D114" s="23">
        <v>195276.6</v>
      </c>
      <c r="E114" s="23">
        <v>447506</v>
      </c>
      <c r="F114" s="40">
        <f t="shared" ref="F114:F126" si="37">+E114+D114</f>
        <v>642782.6</v>
      </c>
      <c r="G114" s="23">
        <f>+G113+F114</f>
        <v>1353896.26</v>
      </c>
      <c r="H114" s="41">
        <f t="shared" si="35"/>
        <v>54.094443161932915</v>
      </c>
      <c r="I114" s="23">
        <f>+I113+442322.51</f>
        <v>878614.59000000008</v>
      </c>
      <c r="J114" s="19"/>
    </row>
    <row r="115" spans="2:10" x14ac:dyDescent="0.3">
      <c r="B115" s="33">
        <v>8</v>
      </c>
      <c r="C115" s="31" t="s">
        <v>25</v>
      </c>
      <c r="D115" s="23">
        <v>637410.01</v>
      </c>
      <c r="E115" s="23">
        <v>0</v>
      </c>
      <c r="F115" s="40">
        <f t="shared" si="37"/>
        <v>637410.01</v>
      </c>
      <c r="G115" s="23">
        <f t="shared" ref="G115:G126" si="38">+G114+F115</f>
        <v>1991306.27</v>
      </c>
      <c r="H115" s="41">
        <f t="shared" si="35"/>
        <v>1.9515345342059538</v>
      </c>
      <c r="I115" s="23">
        <v>1953189.11</v>
      </c>
      <c r="J115" s="19"/>
    </row>
    <row r="116" spans="2:10" x14ac:dyDescent="0.3">
      <c r="B116" s="33">
        <v>9</v>
      </c>
      <c r="C116" s="31" t="s">
        <v>26</v>
      </c>
      <c r="D116" s="23">
        <v>961223.61</v>
      </c>
      <c r="E116" s="23">
        <v>-3035</v>
      </c>
      <c r="F116" s="40">
        <f t="shared" si="37"/>
        <v>958188.61</v>
      </c>
      <c r="G116" s="23">
        <f t="shared" si="38"/>
        <v>2949494.88</v>
      </c>
      <c r="H116" s="41">
        <f t="shared" si="35"/>
        <v>10.513526543785867</v>
      </c>
      <c r="I116" s="23">
        <f>+I115+715710.32</f>
        <v>2668899.4300000002</v>
      </c>
      <c r="J116" s="19"/>
    </row>
    <row r="117" spans="2:10" x14ac:dyDescent="0.3">
      <c r="B117" s="33">
        <v>10</v>
      </c>
      <c r="C117" s="31" t="s">
        <v>55</v>
      </c>
      <c r="D117" s="23">
        <v>1483791.54</v>
      </c>
      <c r="E117" s="23">
        <v>0</v>
      </c>
      <c r="F117" s="40">
        <f>+E117+D117</f>
        <v>1483791.54</v>
      </c>
      <c r="G117" s="23">
        <f>+G116+F117</f>
        <v>4433286.42</v>
      </c>
      <c r="H117" s="41">
        <f t="shared" si="35"/>
        <v>15.222139872174056</v>
      </c>
      <c r="I117" s="23">
        <f>+I116+1178700.02</f>
        <v>3847599.45</v>
      </c>
      <c r="J117" s="19"/>
    </row>
    <row r="118" spans="2:10" x14ac:dyDescent="0.3">
      <c r="B118" s="33">
        <v>11</v>
      </c>
      <c r="C118" s="31" t="s">
        <v>56</v>
      </c>
      <c r="D118" s="23">
        <v>1604442.54</v>
      </c>
      <c r="E118" s="23">
        <v>0</v>
      </c>
      <c r="F118" s="40">
        <f t="shared" si="37"/>
        <v>1604442.54</v>
      </c>
      <c r="G118" s="23">
        <f>+G117+F118</f>
        <v>6037728.96</v>
      </c>
      <c r="H118" s="41">
        <f t="shared" si="35"/>
        <v>16.978615475089708</v>
      </c>
      <c r="I118" s="23">
        <f>+I117+1313796.02</f>
        <v>5161395.4700000007</v>
      </c>
      <c r="J118" s="19"/>
    </row>
    <row r="119" spans="2:10" x14ac:dyDescent="0.3">
      <c r="B119" s="33">
        <v>12</v>
      </c>
      <c r="C119" s="31" t="s">
        <v>71</v>
      </c>
      <c r="D119" s="23">
        <v>1840013.53</v>
      </c>
      <c r="E119" s="23">
        <v>0</v>
      </c>
      <c r="F119" s="40">
        <f t="shared" si="37"/>
        <v>1840013.53</v>
      </c>
      <c r="G119" s="23">
        <f t="shared" si="38"/>
        <v>7877742.4900000002</v>
      </c>
      <c r="H119" s="41">
        <f t="shared" si="35"/>
        <v>19.818703326300398</v>
      </c>
      <c r="I119" s="23">
        <f>+I118+1413323.06</f>
        <v>6574718.5300000012</v>
      </c>
      <c r="J119" s="19"/>
    </row>
    <row r="120" spans="2:10" x14ac:dyDescent="0.3">
      <c r="B120" s="33">
        <v>13</v>
      </c>
      <c r="C120" s="31" t="s">
        <v>57</v>
      </c>
      <c r="D120" s="23">
        <v>1540077.06</v>
      </c>
      <c r="E120" s="23">
        <v>12755</v>
      </c>
      <c r="F120" s="40">
        <f t="shared" si="37"/>
        <v>1552832.06</v>
      </c>
      <c r="G120" s="23">
        <f t="shared" si="38"/>
        <v>9430574.5500000007</v>
      </c>
      <c r="H120" s="41">
        <f t="shared" si="35"/>
        <v>27.816979832914303</v>
      </c>
      <c r="I120" s="23">
        <v>7378186.0300000003</v>
      </c>
      <c r="J120" s="19"/>
    </row>
    <row r="121" spans="2:10" x14ac:dyDescent="0.3">
      <c r="B121" s="33">
        <v>14</v>
      </c>
      <c r="C121" s="49" t="s">
        <v>58</v>
      </c>
      <c r="D121" s="23">
        <v>278079.51</v>
      </c>
      <c r="E121" s="23">
        <v>0</v>
      </c>
      <c r="F121" s="40">
        <f t="shared" si="37"/>
        <v>278079.51</v>
      </c>
      <c r="G121" s="23">
        <f t="shared" si="38"/>
        <v>9708654.0600000005</v>
      </c>
      <c r="H121" s="41">
        <f t="shared" si="35"/>
        <v>23.209060294541977</v>
      </c>
      <c r="I121" s="23">
        <f>+I120+501635.5</f>
        <v>7879821.5300000003</v>
      </c>
      <c r="J121" s="19"/>
    </row>
    <row r="122" spans="2:10" x14ac:dyDescent="0.3">
      <c r="B122" s="33">
        <v>15</v>
      </c>
      <c r="C122" s="31" t="s">
        <v>59</v>
      </c>
      <c r="D122" s="23">
        <v>296144.5</v>
      </c>
      <c r="E122" s="23">
        <v>0</v>
      </c>
      <c r="F122" s="40">
        <f t="shared" si="37"/>
        <v>296144.5</v>
      </c>
      <c r="G122" s="23">
        <f t="shared" si="38"/>
        <v>10004798.560000001</v>
      </c>
      <c r="H122" s="41">
        <f t="shared" si="35"/>
        <v>20.073364586689131</v>
      </c>
      <c r="I122" s="23">
        <f>+I121+452416.51</f>
        <v>8332238.04</v>
      </c>
      <c r="J122" s="19"/>
    </row>
    <row r="123" spans="2:10" x14ac:dyDescent="0.3">
      <c r="B123" s="33">
        <v>16</v>
      </c>
      <c r="C123" s="31" t="s">
        <v>60</v>
      </c>
      <c r="D123" s="23">
        <v>248130.5</v>
      </c>
      <c r="E123" s="23">
        <v>0</v>
      </c>
      <c r="F123" s="40">
        <f t="shared" si="37"/>
        <v>248130.5</v>
      </c>
      <c r="G123" s="23">
        <f t="shared" si="38"/>
        <v>10252929.060000001</v>
      </c>
      <c r="H123" s="41">
        <f t="shared" si="35"/>
        <v>17.033564006451741</v>
      </c>
      <c r="I123" s="23">
        <v>8760674.0399999991</v>
      </c>
      <c r="J123" s="19"/>
    </row>
    <row r="124" spans="2:10" x14ac:dyDescent="0.3">
      <c r="B124" s="33">
        <v>17</v>
      </c>
      <c r="C124" s="31" t="s">
        <v>61</v>
      </c>
      <c r="D124" s="23">
        <v>204736.03</v>
      </c>
      <c r="E124" s="23">
        <v>0</v>
      </c>
      <c r="F124" s="40">
        <f t="shared" si="37"/>
        <v>204736.03</v>
      </c>
      <c r="G124" s="23">
        <f t="shared" si="38"/>
        <v>10457665.09</v>
      </c>
      <c r="H124" s="41">
        <f t="shared" si="35"/>
        <v>13.823290191513504</v>
      </c>
      <c r="I124" s="23">
        <f>+I123+426958.01</f>
        <v>9187632.0499999989</v>
      </c>
      <c r="J124" s="19"/>
    </row>
    <row r="125" spans="2:10" x14ac:dyDescent="0.3">
      <c r="B125" s="33">
        <v>18</v>
      </c>
      <c r="C125" s="31" t="s">
        <v>62</v>
      </c>
      <c r="D125" s="23">
        <v>154663.51999999999</v>
      </c>
      <c r="E125" s="23">
        <v>0</v>
      </c>
      <c r="F125" s="40">
        <f t="shared" si="37"/>
        <v>154663.51999999999</v>
      </c>
      <c r="G125" s="23">
        <f t="shared" si="38"/>
        <v>10612328.609999999</v>
      </c>
      <c r="H125" s="41">
        <f t="shared" si="35"/>
        <v>12.181394382759329</v>
      </c>
      <c r="I125" s="23">
        <f>+I124+272340.05</f>
        <v>9459972.0999999996</v>
      </c>
      <c r="J125" s="19"/>
    </row>
    <row r="126" spans="2:10" x14ac:dyDescent="0.3">
      <c r="B126" s="33">
        <v>19</v>
      </c>
      <c r="C126" s="31" t="s">
        <v>63</v>
      </c>
      <c r="D126" s="23">
        <v>184065.5</v>
      </c>
      <c r="E126" s="23">
        <v>0</v>
      </c>
      <c r="F126" s="40">
        <f t="shared" si="37"/>
        <v>184065.5</v>
      </c>
      <c r="G126" s="23">
        <f t="shared" si="38"/>
        <v>10796394.109999999</v>
      </c>
      <c r="H126" s="41">
        <f t="shared" si="35"/>
        <v>10.4942413263053</v>
      </c>
      <c r="I126" s="23">
        <f>+I125+311029.52</f>
        <v>9771001.6199999992</v>
      </c>
      <c r="J126" s="19"/>
    </row>
    <row r="127" spans="2:10" x14ac:dyDescent="0.3">
      <c r="B127" s="33">
        <v>20</v>
      </c>
      <c r="C127" s="31" t="s">
        <v>64</v>
      </c>
      <c r="D127" s="23">
        <v>1280.5</v>
      </c>
      <c r="E127" s="23">
        <v>0</v>
      </c>
      <c r="F127" s="40">
        <f t="shared" ref="F127:F133" si="39">+E127+D127</f>
        <v>1280.5</v>
      </c>
      <c r="G127" s="23">
        <f t="shared" ref="G127:G133" si="40">+G126+F127</f>
        <v>10797674.609999999</v>
      </c>
      <c r="H127" s="41">
        <f t="shared" si="35"/>
        <v>8.9842989689730306</v>
      </c>
      <c r="I127" s="23">
        <f>+I126+136549.02</f>
        <v>9907550.6399999987</v>
      </c>
      <c r="J127" s="19"/>
    </row>
    <row r="128" spans="2:10" x14ac:dyDescent="0.3">
      <c r="B128" s="33">
        <v>21</v>
      </c>
      <c r="C128" s="31" t="s">
        <v>65</v>
      </c>
      <c r="D128" s="23">
        <v>7056.75</v>
      </c>
      <c r="E128" s="23">
        <v>0</v>
      </c>
      <c r="F128" s="40">
        <f t="shared" si="39"/>
        <v>7056.75</v>
      </c>
      <c r="G128" s="23">
        <f t="shared" si="40"/>
        <v>10804731.359999999</v>
      </c>
      <c r="H128" s="41">
        <f t="shared" si="35"/>
        <v>8.7255200178847723</v>
      </c>
      <c r="I128" s="23">
        <f>+I127+30071.51</f>
        <v>9937622.1499999985</v>
      </c>
      <c r="J128" s="19"/>
    </row>
    <row r="129" spans="2:10" x14ac:dyDescent="0.3">
      <c r="B129" s="33">
        <v>22</v>
      </c>
      <c r="C129" s="31" t="s">
        <v>66</v>
      </c>
      <c r="D129" s="23">
        <v>117934.51</v>
      </c>
      <c r="E129" s="23">
        <v>0</v>
      </c>
      <c r="F129" s="40">
        <f t="shared" si="39"/>
        <v>117934.51</v>
      </c>
      <c r="G129" s="23">
        <f t="shared" si="40"/>
        <v>10922665.869999999</v>
      </c>
      <c r="H129" s="41">
        <f t="shared" si="35"/>
        <v>9.7179410790003313</v>
      </c>
      <c r="I129" s="23">
        <f>+I128+17601</f>
        <v>9955223.1499999985</v>
      </c>
      <c r="J129" s="19"/>
    </row>
    <row r="130" spans="2:10" x14ac:dyDescent="0.3">
      <c r="B130" s="33">
        <v>23</v>
      </c>
      <c r="C130" s="31" t="s">
        <v>76</v>
      </c>
      <c r="D130" s="23">
        <v>1033.99</v>
      </c>
      <c r="E130" s="23">
        <v>4968</v>
      </c>
      <c r="F130" s="40">
        <f t="shared" si="39"/>
        <v>6001.99</v>
      </c>
      <c r="G130" s="23">
        <f t="shared" si="40"/>
        <v>10928667.859999999</v>
      </c>
      <c r="H130" s="41">
        <f t="shared" si="35"/>
        <v>9.778230937997618</v>
      </c>
      <c r="I130" s="23">
        <f>+I129+0</f>
        <v>9955223.1499999985</v>
      </c>
      <c r="J130" s="19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39"/>
        <v>0</v>
      </c>
      <c r="G131" s="23">
        <f t="shared" si="40"/>
        <v>10928667.859999999</v>
      </c>
      <c r="H131" s="41">
        <f t="shared" si="35"/>
        <v>9.7510886855064012</v>
      </c>
      <c r="I131" s="23">
        <f>+I130+2462</f>
        <v>9957685.1499999985</v>
      </c>
      <c r="J131" s="19"/>
    </row>
    <row r="132" spans="2:10" x14ac:dyDescent="0.3">
      <c r="B132" s="33">
        <v>25</v>
      </c>
      <c r="C132" s="67" t="s">
        <v>77</v>
      </c>
      <c r="D132" s="23">
        <v>0</v>
      </c>
      <c r="E132" s="23">
        <v>0</v>
      </c>
      <c r="F132" s="40">
        <f t="shared" si="39"/>
        <v>0</v>
      </c>
      <c r="G132" s="23">
        <f t="shared" si="40"/>
        <v>10928667.859999999</v>
      </c>
      <c r="H132" s="41">
        <f t="shared" ref="H132" si="41">((G132-I132)/I132)*100</f>
        <v>9.7510886855064012</v>
      </c>
      <c r="I132" s="23">
        <f>+I131+0</f>
        <v>9957685.1499999985</v>
      </c>
      <c r="J132" s="19"/>
    </row>
    <row r="133" spans="2:10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39"/>
        <v>0</v>
      </c>
      <c r="G133" s="95">
        <f t="shared" si="40"/>
        <v>10928667.859999999</v>
      </c>
      <c r="H133" s="41">
        <f t="shared" ref="H133" si="42">((G133-I133)/I133)*100</f>
        <v>9.7510886855064012</v>
      </c>
      <c r="I133" s="23">
        <f>+I132+0</f>
        <v>9957685.1499999985</v>
      </c>
      <c r="J133" s="19"/>
    </row>
    <row r="134" spans="2:10" x14ac:dyDescent="0.3">
      <c r="B134" s="97">
        <v>27</v>
      </c>
      <c r="C134" s="67" t="s">
        <v>79</v>
      </c>
      <c r="D134" s="102">
        <v>0</v>
      </c>
      <c r="E134" s="103">
        <v>0</v>
      </c>
      <c r="F134" s="104">
        <f t="shared" ref="F134:F135" si="43">+E134+D134</f>
        <v>0</v>
      </c>
      <c r="G134" s="103">
        <f>+G133+F134</f>
        <v>10928667.859999999</v>
      </c>
      <c r="H134" s="41">
        <f t="shared" ref="H134:H135" si="44">((G134-I134)/I134)*100</f>
        <v>9.7510886855064012</v>
      </c>
      <c r="I134" s="23">
        <f>+I133+0</f>
        <v>9957685.1499999985</v>
      </c>
      <c r="J134" s="19"/>
    </row>
    <row r="135" spans="2:10" x14ac:dyDescent="0.3">
      <c r="B135" s="33">
        <v>28</v>
      </c>
      <c r="C135" s="93" t="s">
        <v>80</v>
      </c>
      <c r="D135" s="94">
        <v>0</v>
      </c>
      <c r="E135" s="95">
        <v>965245</v>
      </c>
      <c r="F135" s="96">
        <f t="shared" si="43"/>
        <v>965245</v>
      </c>
      <c r="G135" s="95">
        <f t="shared" ref="G135" si="45">+G134+F135</f>
        <v>11893912.859999999</v>
      </c>
      <c r="H135" s="41">
        <f t="shared" si="44"/>
        <v>19.47243479173807</v>
      </c>
      <c r="I135" s="23">
        <f>+I134-2323.58</f>
        <v>9955361.5699999984</v>
      </c>
      <c r="J135" s="19"/>
    </row>
    <row r="136" spans="2:10" x14ac:dyDescent="0.3">
      <c r="B136" s="97">
        <v>29</v>
      </c>
      <c r="C136" s="67" t="s">
        <v>81</v>
      </c>
      <c r="D136" s="94">
        <v>0</v>
      </c>
      <c r="E136" s="95"/>
      <c r="F136" s="96">
        <f t="shared" ref="F136:F140" si="46">+E136+D136</f>
        <v>0</v>
      </c>
      <c r="G136" s="95">
        <f t="shared" ref="G136:G139" si="47">+G135+F136</f>
        <v>11893912.859999999</v>
      </c>
      <c r="H136" s="41">
        <f t="shared" ref="H136:H142" si="48">((G136-I136)/I136)*100</f>
        <v>19.500326151171471</v>
      </c>
      <c r="I136" s="23">
        <f t="shared" ref="I136:I140" si="49">+I135-2323.58</f>
        <v>9953037.9899999984</v>
      </c>
      <c r="J136" s="10"/>
    </row>
    <row r="137" spans="2:10" x14ac:dyDescent="0.3">
      <c r="B137" s="97">
        <v>30</v>
      </c>
      <c r="C137" s="67" t="s">
        <v>82</v>
      </c>
      <c r="D137" s="94">
        <v>0</v>
      </c>
      <c r="E137" s="95">
        <v>0</v>
      </c>
      <c r="F137" s="96">
        <f t="shared" si="46"/>
        <v>0</v>
      </c>
      <c r="G137" s="95">
        <f t="shared" si="47"/>
        <v>11893912.859999999</v>
      </c>
      <c r="H137" s="41">
        <f t="shared" si="48"/>
        <v>19.528230536364084</v>
      </c>
      <c r="I137" s="23">
        <f t="shared" si="49"/>
        <v>9950714.4099999983</v>
      </c>
      <c r="J137" s="10"/>
    </row>
    <row r="138" spans="2:10" x14ac:dyDescent="0.3">
      <c r="B138" s="33">
        <v>31</v>
      </c>
      <c r="C138" s="67" t="s">
        <v>83</v>
      </c>
      <c r="D138" s="94">
        <v>0</v>
      </c>
      <c r="E138" s="95">
        <v>0</v>
      </c>
      <c r="F138" s="96">
        <f t="shared" si="46"/>
        <v>0</v>
      </c>
      <c r="G138" s="95">
        <f t="shared" si="47"/>
        <v>11893912.859999999</v>
      </c>
      <c r="H138" s="41">
        <f t="shared" si="48"/>
        <v>19.556147956442938</v>
      </c>
      <c r="I138" s="23">
        <f t="shared" si="49"/>
        <v>9948390.8299999982</v>
      </c>
      <c r="J138" s="10"/>
    </row>
    <row r="139" spans="2:10" x14ac:dyDescent="0.3">
      <c r="B139" s="97">
        <v>32</v>
      </c>
      <c r="C139" s="67" t="s">
        <v>84</v>
      </c>
      <c r="D139" s="94">
        <v>0</v>
      </c>
      <c r="E139" s="95">
        <v>0</v>
      </c>
      <c r="F139" s="96">
        <f t="shared" si="46"/>
        <v>0</v>
      </c>
      <c r="G139" s="95">
        <f t="shared" si="47"/>
        <v>11893912.859999999</v>
      </c>
      <c r="H139" s="41">
        <f t="shared" si="48"/>
        <v>19.584078420543573</v>
      </c>
      <c r="I139" s="23">
        <f t="shared" si="49"/>
        <v>9946067.2499999981</v>
      </c>
      <c r="J139" s="10"/>
    </row>
    <row r="140" spans="2:10" x14ac:dyDescent="0.3">
      <c r="B140" s="97">
        <v>33</v>
      </c>
      <c r="C140" s="67" t="s">
        <v>85</v>
      </c>
      <c r="D140" s="94">
        <v>0</v>
      </c>
      <c r="E140" s="95">
        <v>0</v>
      </c>
      <c r="F140" s="96">
        <f t="shared" si="46"/>
        <v>0</v>
      </c>
      <c r="G140" s="95">
        <f>+G139+F140</f>
        <v>11893912.859999999</v>
      </c>
      <c r="H140" s="41">
        <f t="shared" si="48"/>
        <v>19.612021937810088</v>
      </c>
      <c r="I140" s="23">
        <f t="shared" si="49"/>
        <v>9943743.6699999981</v>
      </c>
      <c r="J140" s="10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11893912.859999999</v>
      </c>
      <c r="H141" s="41">
        <f t="shared" si="48"/>
        <v>19.612021937810088</v>
      </c>
      <c r="I141" s="23">
        <f t="shared" ref="I141:I142" si="50">+I140+0</f>
        <v>9943743.6699999981</v>
      </c>
      <c r="J141" s="10"/>
    </row>
    <row r="142" spans="2:10" x14ac:dyDescent="0.3">
      <c r="B142" s="33">
        <v>35</v>
      </c>
      <c r="C142" s="67" t="s">
        <v>86</v>
      </c>
      <c r="D142" s="23"/>
      <c r="E142" s="23">
        <v>0</v>
      </c>
      <c r="F142" s="40">
        <f>+E142+D142</f>
        <v>0</v>
      </c>
      <c r="G142" s="40">
        <f>+G141+F142</f>
        <v>11893912.859999999</v>
      </c>
      <c r="H142" s="41">
        <f t="shared" si="48"/>
        <v>19.612021937810088</v>
      </c>
      <c r="I142" s="23">
        <f t="shared" si="50"/>
        <v>9943743.6699999981</v>
      </c>
      <c r="J142" s="10"/>
    </row>
    <row r="143" spans="2:10" hidden="1" x14ac:dyDescent="0.3">
      <c r="B143" s="97">
        <v>36</v>
      </c>
      <c r="C143" s="67"/>
      <c r="D143" s="94"/>
      <c r="E143" s="95"/>
      <c r="F143" s="96"/>
      <c r="G143" s="96"/>
      <c r="H143" s="41"/>
      <c r="I143" s="23"/>
      <c r="J143" s="10"/>
    </row>
    <row r="144" spans="2:10" hidden="1" x14ac:dyDescent="0.3">
      <c r="B144" s="33">
        <v>37</v>
      </c>
      <c r="C144" s="67"/>
      <c r="D144" s="94"/>
      <c r="E144" s="95"/>
      <c r="F144" s="96"/>
      <c r="G144" s="96"/>
      <c r="H144" s="41"/>
      <c r="I144" s="23"/>
      <c r="J144" s="10"/>
    </row>
    <row r="145" spans="2:10" hidden="1" x14ac:dyDescent="0.3">
      <c r="B145" s="97">
        <v>38</v>
      </c>
      <c r="C145" s="67"/>
      <c r="D145" s="94"/>
      <c r="E145" s="95"/>
      <c r="F145" s="96"/>
      <c r="G145" s="96"/>
      <c r="H145" s="41"/>
      <c r="I145" s="23"/>
      <c r="J145" s="10"/>
    </row>
    <row r="146" spans="2:10" hidden="1" x14ac:dyDescent="0.3">
      <c r="B146" s="97">
        <v>39</v>
      </c>
      <c r="C146" s="67"/>
      <c r="D146" s="94"/>
      <c r="E146" s="95"/>
      <c r="F146" s="96"/>
      <c r="G146" s="96"/>
      <c r="H146" s="41"/>
      <c r="I146" s="23"/>
      <c r="J146" s="10"/>
    </row>
    <row r="147" spans="2:10" hidden="1" x14ac:dyDescent="0.3">
      <c r="B147" s="33">
        <v>40</v>
      </c>
      <c r="C147" s="67"/>
      <c r="D147" s="94"/>
      <c r="E147" s="95"/>
      <c r="F147" s="96"/>
      <c r="G147" s="96"/>
      <c r="H147" s="41"/>
      <c r="I147" s="23"/>
      <c r="J147" s="10"/>
    </row>
    <row r="148" spans="2:10" x14ac:dyDescent="0.3">
      <c r="B148" s="5"/>
      <c r="C148" s="5"/>
      <c r="D148" s="6"/>
      <c r="E148" s="6"/>
      <c r="F148" s="6"/>
      <c r="G148" s="6"/>
      <c r="H148" s="6"/>
      <c r="I148" s="6"/>
      <c r="J148" s="5"/>
    </row>
    <row r="149" spans="2:10" x14ac:dyDescent="0.3">
      <c r="B149" s="8" t="s">
        <v>27</v>
      </c>
      <c r="C149" s="5"/>
      <c r="D149" s="6"/>
      <c r="E149" s="6"/>
      <c r="F149" s="6"/>
      <c r="G149" s="6"/>
      <c r="H149" s="6"/>
      <c r="I149" s="6"/>
      <c r="J149" s="5"/>
    </row>
    <row r="150" spans="2:10" x14ac:dyDescent="0.3">
      <c r="B150" s="9" t="s">
        <v>28</v>
      </c>
      <c r="C150" s="5"/>
      <c r="D150" s="6"/>
      <c r="E150" s="6"/>
      <c r="F150" s="6"/>
      <c r="G150" s="6"/>
      <c r="H150" s="6"/>
      <c r="I150" s="6"/>
      <c r="J150" s="5"/>
    </row>
    <row r="151" spans="2:10" x14ac:dyDescent="0.3">
      <c r="B151" s="9" t="s">
        <v>29</v>
      </c>
      <c r="C151" s="5"/>
      <c r="D151" s="6"/>
      <c r="E151" s="6"/>
      <c r="F151" s="6"/>
      <c r="G151" s="6"/>
      <c r="H151" s="6"/>
      <c r="I151" s="6"/>
      <c r="J151" s="5"/>
    </row>
    <row r="152" spans="2:10" x14ac:dyDescent="0.3">
      <c r="B152" s="9" t="s">
        <v>30</v>
      </c>
      <c r="C152" s="5"/>
      <c r="D152" s="6"/>
      <c r="E152" s="6"/>
      <c r="F152" s="6"/>
      <c r="G152" s="6"/>
      <c r="H152" s="6"/>
      <c r="I152" s="6"/>
      <c r="J152" s="5"/>
    </row>
    <row r="155" spans="2:10" ht="18" x14ac:dyDescent="0.35">
      <c r="B155" s="10"/>
      <c r="C155" s="10"/>
      <c r="D155" s="150" t="s">
        <v>34</v>
      </c>
      <c r="E155" s="150"/>
      <c r="F155" s="150"/>
      <c r="G155" s="150"/>
      <c r="H155" s="150"/>
      <c r="I155" s="150"/>
      <c r="J155" s="10"/>
    </row>
    <row r="156" spans="2:10" s="28" customFormat="1" ht="15.6" x14ac:dyDescent="0.3">
      <c r="B156" s="24"/>
      <c r="C156" s="24"/>
      <c r="D156" s="169" t="s">
        <v>35</v>
      </c>
      <c r="E156" s="169"/>
      <c r="F156" s="169"/>
      <c r="G156" s="169"/>
      <c r="H156" s="169"/>
      <c r="I156" s="169"/>
      <c r="J156" s="24"/>
    </row>
    <row r="157" spans="2:10" ht="15.9" customHeight="1" x14ac:dyDescent="0.3">
      <c r="B157" s="132" t="s">
        <v>89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52" t="s">
        <v>6</v>
      </c>
      <c r="E158" s="153"/>
      <c r="F158" s="153"/>
      <c r="G158" s="154"/>
      <c r="H158" s="143" t="s">
        <v>7</v>
      </c>
      <c r="I158" s="144"/>
      <c r="J158" s="4"/>
    </row>
    <row r="159" spans="2:10" x14ac:dyDescent="0.3">
      <c r="B159" s="12"/>
      <c r="C159" s="13"/>
      <c r="D159" s="155" t="s">
        <v>9</v>
      </c>
      <c r="E159" s="156"/>
      <c r="F159" s="156"/>
      <c r="G159" s="157"/>
      <c r="H159" s="145"/>
      <c r="I159" s="146"/>
      <c r="J159" s="4"/>
    </row>
    <row r="160" spans="2:10" ht="14.4" customHeight="1" x14ac:dyDescent="0.3">
      <c r="B160" s="111" t="s">
        <v>10</v>
      </c>
      <c r="C160" s="113" t="s">
        <v>11</v>
      </c>
      <c r="D160" s="44" t="s">
        <v>12</v>
      </c>
      <c r="E160" s="44" t="s">
        <v>13</v>
      </c>
      <c r="F160" s="44" t="s">
        <v>14</v>
      </c>
      <c r="G160" s="44" t="s">
        <v>15</v>
      </c>
      <c r="H160" s="139" t="s">
        <v>16</v>
      </c>
      <c r="I160" s="141" t="s">
        <v>17</v>
      </c>
      <c r="J160" s="17"/>
    </row>
    <row r="161" spans="2:10" ht="37.35" customHeight="1" x14ac:dyDescent="0.3">
      <c r="B161" s="112"/>
      <c r="C161" s="114"/>
      <c r="D161" s="165" t="s">
        <v>20</v>
      </c>
      <c r="E161" s="166"/>
      <c r="F161" s="166"/>
      <c r="G161" s="167"/>
      <c r="H161" s="140"/>
      <c r="I161" s="142"/>
      <c r="J161" s="17"/>
    </row>
    <row r="162" spans="2:10" x14ac:dyDescent="0.3">
      <c r="B162" s="33">
        <v>4</v>
      </c>
      <c r="C162" s="31" t="s">
        <v>21</v>
      </c>
      <c r="D162" s="18">
        <v>89849</v>
      </c>
      <c r="E162" s="18">
        <v>0</v>
      </c>
      <c r="F162" s="36">
        <f>+D162+E162</f>
        <v>89849</v>
      </c>
      <c r="G162" s="18">
        <f>+F162</f>
        <v>89849</v>
      </c>
      <c r="H162" s="37" t="e">
        <f t="shared" ref="H162:H183" si="51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59869.54</v>
      </c>
      <c r="E163" s="23">
        <v>0</v>
      </c>
      <c r="F163" s="40">
        <f>+E163+D163</f>
        <v>59869.54</v>
      </c>
      <c r="G163" s="23">
        <f>+G162+F163</f>
        <v>149718.54</v>
      </c>
      <c r="H163" s="41">
        <f t="shared" si="51"/>
        <v>-40.756140566013876</v>
      </c>
      <c r="I163" s="23">
        <v>252715.71</v>
      </c>
      <c r="J163" s="19"/>
    </row>
    <row r="164" spans="2:10" x14ac:dyDescent="0.3">
      <c r="B164" s="33">
        <v>6</v>
      </c>
      <c r="C164" s="31" t="s">
        <v>23</v>
      </c>
      <c r="D164" s="23">
        <v>93676.6</v>
      </c>
      <c r="E164" s="23">
        <v>0</v>
      </c>
      <c r="F164" s="40">
        <f>+E164+D164</f>
        <v>93676.6</v>
      </c>
      <c r="G164" s="23">
        <f t="shared" ref="G164" si="52">+G163+F164</f>
        <v>243395.14</v>
      </c>
      <c r="H164" s="41">
        <f t="shared" si="51"/>
        <v>-32.814500388822445</v>
      </c>
      <c r="I164" s="23">
        <f>+I163+109557.61</f>
        <v>362273.32</v>
      </c>
      <c r="J164" s="19"/>
    </row>
    <row r="165" spans="2:10" x14ac:dyDescent="0.3">
      <c r="B165" s="33">
        <v>7</v>
      </c>
      <c r="C165" s="31" t="s">
        <v>24</v>
      </c>
      <c r="D165" s="23">
        <v>24532.03</v>
      </c>
      <c r="E165" s="23">
        <v>0</v>
      </c>
      <c r="F165" s="40">
        <f t="shared" ref="F165:F177" si="53">+E165+D165</f>
        <v>24532.03</v>
      </c>
      <c r="G165" s="23">
        <f>+G164+F165</f>
        <v>267927.17000000004</v>
      </c>
      <c r="H165" s="41">
        <f t="shared" si="51"/>
        <v>-39.581112485989365</v>
      </c>
      <c r="I165" s="23">
        <f>+I164+81176.04</f>
        <v>443449.36</v>
      </c>
      <c r="J165" s="19"/>
    </row>
    <row r="166" spans="2:10" x14ac:dyDescent="0.3">
      <c r="B166" s="33">
        <v>8</v>
      </c>
      <c r="C166" s="31" t="s">
        <v>25</v>
      </c>
      <c r="D166" s="23">
        <v>85676.17</v>
      </c>
      <c r="E166" s="23">
        <v>0</v>
      </c>
      <c r="F166" s="40">
        <f t="shared" si="53"/>
        <v>85676.17</v>
      </c>
      <c r="G166" s="23">
        <f t="shared" ref="G166:G177" si="54">+G165+F166</f>
        <v>353603.34</v>
      </c>
      <c r="H166" s="41">
        <f t="shared" si="51"/>
        <v>-24.692405136806901</v>
      </c>
      <c r="I166" s="23">
        <v>469545.39</v>
      </c>
      <c r="J166" s="19"/>
    </row>
    <row r="167" spans="2:10" x14ac:dyDescent="0.3">
      <c r="B167" s="33">
        <v>9</v>
      </c>
      <c r="C167" s="31" t="s">
        <v>26</v>
      </c>
      <c r="D167" s="23">
        <v>96785.02</v>
      </c>
      <c r="E167" s="23">
        <v>0</v>
      </c>
      <c r="F167" s="40">
        <f t="shared" si="53"/>
        <v>96785.02</v>
      </c>
      <c r="G167" s="23">
        <f t="shared" si="54"/>
        <v>450388.36000000004</v>
      </c>
      <c r="H167" s="41">
        <f t="shared" si="51"/>
        <v>-22.177898802182543</v>
      </c>
      <c r="I167" s="23">
        <f>+I166+109195.55</f>
        <v>578740.94000000006</v>
      </c>
      <c r="J167" s="19"/>
    </row>
    <row r="168" spans="2:10" x14ac:dyDescent="0.3">
      <c r="B168" s="33">
        <v>10</v>
      </c>
      <c r="C168" s="31" t="s">
        <v>55</v>
      </c>
      <c r="D168" s="23">
        <v>24952.55</v>
      </c>
      <c r="E168" s="23">
        <v>0</v>
      </c>
      <c r="F168" s="40">
        <f t="shared" si="53"/>
        <v>24952.55</v>
      </c>
      <c r="G168" s="23">
        <f t="shared" si="54"/>
        <v>475340.91000000003</v>
      </c>
      <c r="H168" s="41">
        <f t="shared" si="51"/>
        <v>-24.232942498438092</v>
      </c>
      <c r="I168" s="23">
        <f>+I167+48630.54</f>
        <v>627371.4800000001</v>
      </c>
      <c r="J168" s="19"/>
    </row>
    <row r="169" spans="2:10" x14ac:dyDescent="0.3">
      <c r="B169" s="33">
        <v>11</v>
      </c>
      <c r="C169" s="31" t="s">
        <v>56</v>
      </c>
      <c r="D169" s="23">
        <v>46737.04</v>
      </c>
      <c r="E169" s="23">
        <v>0</v>
      </c>
      <c r="F169" s="40">
        <f t="shared" si="53"/>
        <v>46737.04</v>
      </c>
      <c r="G169" s="23">
        <f t="shared" si="54"/>
        <v>522077.95</v>
      </c>
      <c r="H169" s="41">
        <f t="shared" si="51"/>
        <v>-17.058467178914629</v>
      </c>
      <c r="I169" s="23">
        <f>+I168+2081.5</f>
        <v>629452.9800000001</v>
      </c>
      <c r="J169" s="19"/>
    </row>
    <row r="170" spans="2:10" x14ac:dyDescent="0.3">
      <c r="B170" s="33">
        <v>12</v>
      </c>
      <c r="C170" s="31" t="s">
        <v>71</v>
      </c>
      <c r="D170" s="23">
        <v>16644.5</v>
      </c>
      <c r="E170" s="23">
        <v>0</v>
      </c>
      <c r="F170" s="40">
        <f t="shared" si="53"/>
        <v>16644.5</v>
      </c>
      <c r="G170" s="23">
        <f t="shared" si="54"/>
        <v>538722.44999999995</v>
      </c>
      <c r="H170" s="41">
        <f t="shared" si="51"/>
        <v>-20.479195983851611</v>
      </c>
      <c r="I170" s="23">
        <f>+I169+48008.04</f>
        <v>677461.02000000014</v>
      </c>
      <c r="J170" s="19"/>
    </row>
    <row r="171" spans="2:10" x14ac:dyDescent="0.3">
      <c r="B171" s="33">
        <v>13</v>
      </c>
      <c r="C171" s="31" t="s">
        <v>57</v>
      </c>
      <c r="D171" s="23">
        <v>8598.4500000000007</v>
      </c>
      <c r="E171" s="23">
        <v>0</v>
      </c>
      <c r="F171" s="40">
        <f t="shared" si="53"/>
        <v>8598.4500000000007</v>
      </c>
      <c r="G171" s="23">
        <f t="shared" si="54"/>
        <v>547320.89999999991</v>
      </c>
      <c r="H171" s="41">
        <f t="shared" si="51"/>
        <v>-19.209979047945829</v>
      </c>
      <c r="I171" s="23">
        <v>677461.02</v>
      </c>
      <c r="J171" s="19"/>
    </row>
    <row r="172" spans="2:10" x14ac:dyDescent="0.3">
      <c r="B172" s="33">
        <v>14</v>
      </c>
      <c r="C172" s="49" t="s">
        <v>58</v>
      </c>
      <c r="D172" s="23">
        <v>18801.509999999998</v>
      </c>
      <c r="E172" s="23">
        <v>0</v>
      </c>
      <c r="F172" s="40">
        <f t="shared" si="53"/>
        <v>18801.509999999998</v>
      </c>
      <c r="G172" s="23">
        <f t="shared" si="54"/>
        <v>566122.40999999992</v>
      </c>
      <c r="H172" s="41">
        <f t="shared" si="51"/>
        <v>-16.434688744158311</v>
      </c>
      <c r="I172" s="23">
        <f>+I171+0</f>
        <v>677461.02</v>
      </c>
      <c r="J172" s="19"/>
    </row>
    <row r="173" spans="2:10" x14ac:dyDescent="0.3">
      <c r="B173" s="33">
        <v>15</v>
      </c>
      <c r="C173" s="31" t="s">
        <v>59</v>
      </c>
      <c r="D173" s="23">
        <v>3155.09</v>
      </c>
      <c r="E173" s="23">
        <v>0</v>
      </c>
      <c r="F173" s="40">
        <f t="shared" si="53"/>
        <v>3155.09</v>
      </c>
      <c r="G173" s="23">
        <f t="shared" si="54"/>
        <v>569277.49999999988</v>
      </c>
      <c r="H173" s="41">
        <f t="shared" si="51"/>
        <v>-15.968966007815494</v>
      </c>
      <c r="I173" s="23">
        <f>+I172+0</f>
        <v>677461.02</v>
      </c>
      <c r="J173" s="19"/>
    </row>
    <row r="174" spans="2:10" x14ac:dyDescent="0.3">
      <c r="B174" s="33">
        <v>16</v>
      </c>
      <c r="C174" s="31" t="s">
        <v>60</v>
      </c>
      <c r="D174" s="23">
        <v>4399</v>
      </c>
      <c r="E174" s="23">
        <v>0</v>
      </c>
      <c r="F174" s="40">
        <f t="shared" si="53"/>
        <v>4399</v>
      </c>
      <c r="G174" s="23">
        <f t="shared" si="54"/>
        <v>573676.49999999988</v>
      </c>
      <c r="H174" s="41">
        <f t="shared" si="51"/>
        <v>-16.251181593576852</v>
      </c>
      <c r="I174" s="23">
        <v>684996.53</v>
      </c>
      <c r="J174" s="19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53"/>
        <v>0</v>
      </c>
      <c r="G175" s="23">
        <f t="shared" si="54"/>
        <v>573676.49999999988</v>
      </c>
      <c r="H175" s="41">
        <f t="shared" si="51"/>
        <v>-17.781475334492782</v>
      </c>
      <c r="I175" s="23">
        <f>+I174+12749.51</f>
        <v>697746.04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53"/>
        <v>0</v>
      </c>
      <c r="G176" s="23">
        <f t="shared" si="54"/>
        <v>573676.49999999988</v>
      </c>
      <c r="H176" s="41">
        <f t="shared" si="51"/>
        <v>-17.781475334492782</v>
      </c>
      <c r="I176" s="23">
        <f>+I175+0</f>
        <v>697746.04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53"/>
        <v>0</v>
      </c>
      <c r="G177" s="23">
        <f t="shared" si="54"/>
        <v>573676.49999999988</v>
      </c>
      <c r="H177" s="41">
        <f t="shared" si="51"/>
        <v>-19.906338094682649</v>
      </c>
      <c r="I177" s="23">
        <f>+I176+18511.01</f>
        <v>716257.05</v>
      </c>
      <c r="J177" s="19"/>
    </row>
    <row r="178" spans="2:10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4" si="55">+E178+D178</f>
        <v>0</v>
      </c>
      <c r="G178" s="23">
        <f t="shared" ref="G178:G184" si="56">+G177+F178</f>
        <v>573676.49999999988</v>
      </c>
      <c r="H178" s="41">
        <f t="shared" si="51"/>
        <v>-19.981300773487682</v>
      </c>
      <c r="I178" s="23">
        <f>+I177+671</f>
        <v>716928.05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55"/>
        <v>0</v>
      </c>
      <c r="G179" s="23">
        <f t="shared" si="56"/>
        <v>573676.49999999988</v>
      </c>
      <c r="H179" s="41">
        <f t="shared" si="51"/>
        <v>-22.558516038893629</v>
      </c>
      <c r="I179" s="23">
        <f>+I178+23859.02</f>
        <v>740787.07000000007</v>
      </c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55"/>
        <v>0</v>
      </c>
      <c r="G180" s="23">
        <f t="shared" si="56"/>
        <v>573676.49999999988</v>
      </c>
      <c r="H180" s="41">
        <f t="shared" si="51"/>
        <v>-22.558516038893629</v>
      </c>
      <c r="I180" s="23">
        <f t="shared" ref="I180:I185" si="57">+I179+0</f>
        <v>740787.07000000007</v>
      </c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55"/>
        <v>0</v>
      </c>
      <c r="G181" s="23">
        <f t="shared" si="56"/>
        <v>573676.49999999988</v>
      </c>
      <c r="H181" s="41">
        <f t="shared" si="51"/>
        <v>-22.558516038893629</v>
      </c>
      <c r="I181" s="23">
        <f t="shared" si="57"/>
        <v>740787.07000000007</v>
      </c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55"/>
        <v>0</v>
      </c>
      <c r="G182" s="23">
        <f t="shared" si="56"/>
        <v>573676.49999999988</v>
      </c>
      <c r="H182" s="41">
        <f t="shared" si="51"/>
        <v>-22.558516038893629</v>
      </c>
      <c r="I182" s="23">
        <f t="shared" si="57"/>
        <v>740787.07000000007</v>
      </c>
    </row>
    <row r="183" spans="2:10" x14ac:dyDescent="0.3">
      <c r="B183" s="33">
        <v>25</v>
      </c>
      <c r="C183" s="67" t="s">
        <v>77</v>
      </c>
      <c r="D183" s="23">
        <v>0</v>
      </c>
      <c r="E183" s="23">
        <v>0</v>
      </c>
      <c r="F183" s="40">
        <f t="shared" si="55"/>
        <v>0</v>
      </c>
      <c r="G183" s="23">
        <f t="shared" si="56"/>
        <v>573676.49999999988</v>
      </c>
      <c r="H183" s="41">
        <f t="shared" si="51"/>
        <v>-22.558516038893629</v>
      </c>
      <c r="I183" s="23">
        <f t="shared" si="57"/>
        <v>740787.07000000007</v>
      </c>
    </row>
    <row r="184" spans="2:10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55"/>
        <v>0</v>
      </c>
      <c r="G184" s="95">
        <f t="shared" si="56"/>
        <v>573676.49999999988</v>
      </c>
      <c r="H184" s="41">
        <f t="shared" ref="H184" si="58">((G184-I184)/I184)*100</f>
        <v>-22.558516038893629</v>
      </c>
      <c r="I184" s="23">
        <f t="shared" si="57"/>
        <v>740787.07000000007</v>
      </c>
    </row>
    <row r="185" spans="2:10" x14ac:dyDescent="0.3">
      <c r="B185" s="33">
        <v>27</v>
      </c>
      <c r="C185" s="67" t="s">
        <v>79</v>
      </c>
      <c r="D185" s="102">
        <v>0</v>
      </c>
      <c r="E185" s="103">
        <v>0</v>
      </c>
      <c r="F185" s="104">
        <f t="shared" ref="F185:F186" si="59">+E185+D185</f>
        <v>0</v>
      </c>
      <c r="G185" s="103">
        <f t="shared" ref="G185:G186" si="60">+G184+F185</f>
        <v>573676.49999999988</v>
      </c>
      <c r="H185" s="41">
        <f t="shared" ref="H185:H186" si="61">((G185-I185)/I185)*100</f>
        <v>-22.558516038893629</v>
      </c>
      <c r="I185" s="23">
        <f t="shared" si="57"/>
        <v>740787.07000000007</v>
      </c>
    </row>
    <row r="186" spans="2:10" x14ac:dyDescent="0.3">
      <c r="B186" s="33">
        <v>28</v>
      </c>
      <c r="C186" s="93" t="s">
        <v>80</v>
      </c>
      <c r="D186" s="94">
        <v>0</v>
      </c>
      <c r="E186" s="95">
        <v>0</v>
      </c>
      <c r="F186" s="96">
        <f t="shared" si="59"/>
        <v>0</v>
      </c>
      <c r="G186" s="95">
        <f t="shared" si="60"/>
        <v>573676.49999999988</v>
      </c>
      <c r="H186" s="41">
        <f t="shared" si="61"/>
        <v>-22.314845924204079</v>
      </c>
      <c r="I186" s="23">
        <f>+I185-2323.58</f>
        <v>738463.49000000011</v>
      </c>
    </row>
    <row r="187" spans="2:10" ht="15" customHeight="1" x14ac:dyDescent="0.3">
      <c r="B187" s="97">
        <v>29</v>
      </c>
      <c r="C187" s="67" t="s">
        <v>81</v>
      </c>
      <c r="D187" s="94">
        <v>0</v>
      </c>
      <c r="E187" s="95">
        <v>0</v>
      </c>
      <c r="F187" s="96">
        <f t="shared" ref="F187:F191" si="62">+E187+D187</f>
        <v>0</v>
      </c>
      <c r="G187" s="95">
        <f t="shared" ref="G187:G190" si="63">+G186+F187</f>
        <v>573676.49999999988</v>
      </c>
      <c r="H187" s="41">
        <f t="shared" ref="H187:H191" si="64">((G187-I187)/I187)*100</f>
        <v>-22.069637550285819</v>
      </c>
      <c r="I187" s="23">
        <f t="shared" ref="I187:I191" si="65">+I186-2323.58</f>
        <v>736139.91000000015</v>
      </c>
    </row>
    <row r="188" spans="2:10" x14ac:dyDescent="0.3">
      <c r="B188" s="33">
        <v>30</v>
      </c>
      <c r="C188" s="67" t="s">
        <v>82</v>
      </c>
      <c r="D188" s="94">
        <v>0</v>
      </c>
      <c r="E188" s="95">
        <v>0</v>
      </c>
      <c r="F188" s="96">
        <f t="shared" si="62"/>
        <v>0</v>
      </c>
      <c r="G188" s="95">
        <f t="shared" si="63"/>
        <v>573676.49999999988</v>
      </c>
      <c r="H188" s="41">
        <f t="shared" si="64"/>
        <v>-21.822876304756022</v>
      </c>
      <c r="I188" s="23">
        <f t="shared" si="65"/>
        <v>733816.33000000019</v>
      </c>
    </row>
    <row r="189" spans="2:10" x14ac:dyDescent="0.3">
      <c r="B189" s="33">
        <v>31</v>
      </c>
      <c r="C189" s="67" t="s">
        <v>83</v>
      </c>
      <c r="D189" s="94">
        <v>0</v>
      </c>
      <c r="E189" s="95">
        <v>0</v>
      </c>
      <c r="F189" s="96">
        <f t="shared" si="62"/>
        <v>0</v>
      </c>
      <c r="G189" s="95">
        <f t="shared" si="63"/>
        <v>573676.49999999988</v>
      </c>
      <c r="H189" s="41">
        <f t="shared" si="64"/>
        <v>-21.574547389567471</v>
      </c>
      <c r="I189" s="23">
        <f t="shared" si="65"/>
        <v>731492.75000000023</v>
      </c>
    </row>
    <row r="190" spans="2:10" x14ac:dyDescent="0.3">
      <c r="B190" s="97">
        <v>32</v>
      </c>
      <c r="C190" s="67" t="s">
        <v>84</v>
      </c>
      <c r="D190" s="94">
        <v>0</v>
      </c>
      <c r="E190" s="95">
        <v>0</v>
      </c>
      <c r="F190" s="96">
        <f t="shared" si="62"/>
        <v>0</v>
      </c>
      <c r="G190" s="95">
        <f t="shared" si="63"/>
        <v>573676.49999999988</v>
      </c>
      <c r="H190" s="41">
        <f t="shared" si="64"/>
        <v>-21.324635818050332</v>
      </c>
      <c r="I190" s="23">
        <f t="shared" si="65"/>
        <v>729169.17000000027</v>
      </c>
    </row>
    <row r="191" spans="2:10" x14ac:dyDescent="0.3">
      <c r="B191" s="33">
        <v>33</v>
      </c>
      <c r="C191" s="67" t="s">
        <v>85</v>
      </c>
      <c r="D191" s="94">
        <v>0</v>
      </c>
      <c r="E191" s="95">
        <v>0</v>
      </c>
      <c r="F191" s="96">
        <f t="shared" si="62"/>
        <v>0</v>
      </c>
      <c r="G191" s="95">
        <f>+G190+F191</f>
        <v>573676.49999999988</v>
      </c>
      <c r="H191" s="41">
        <f t="shared" si="64"/>
        <v>-21.073126411897245</v>
      </c>
      <c r="I191" s="23">
        <f t="shared" si="65"/>
        <v>726845.59000000032</v>
      </c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573676.49999999988</v>
      </c>
      <c r="H192" s="41"/>
      <c r="I192" s="23"/>
    </row>
    <row r="193" spans="2:9" x14ac:dyDescent="0.3">
      <c r="B193" s="33">
        <v>35</v>
      </c>
      <c r="C193" s="67" t="s">
        <v>86</v>
      </c>
      <c r="D193" s="23"/>
      <c r="E193" s="23">
        <v>0</v>
      </c>
      <c r="F193" s="40">
        <f>+E193+D193</f>
        <v>0</v>
      </c>
      <c r="G193" s="40">
        <f>+G192+F193</f>
        <v>573676.49999999988</v>
      </c>
      <c r="H193" s="41"/>
      <c r="I193" s="23"/>
    </row>
    <row r="194" spans="2:9" hidden="1" x14ac:dyDescent="0.3">
      <c r="B194" s="33">
        <v>36</v>
      </c>
      <c r="C194" s="67"/>
      <c r="D194" s="94"/>
      <c r="E194" s="95"/>
      <c r="F194" s="96"/>
      <c r="G194" s="96"/>
      <c r="H194" s="41"/>
      <c r="I194" s="23"/>
    </row>
    <row r="195" spans="2:9" hidden="1" x14ac:dyDescent="0.3">
      <c r="B195" s="33">
        <v>37</v>
      </c>
      <c r="C195" s="67"/>
      <c r="D195" s="94"/>
      <c r="E195" s="95"/>
      <c r="F195" s="96"/>
      <c r="G195" s="96"/>
      <c r="H195" s="41"/>
      <c r="I195" s="23"/>
    </row>
    <row r="196" spans="2:9" hidden="1" x14ac:dyDescent="0.3">
      <c r="B196" s="97">
        <v>38</v>
      </c>
      <c r="C196" s="67"/>
      <c r="D196" s="94"/>
      <c r="E196" s="95"/>
      <c r="F196" s="96"/>
      <c r="G196" s="96"/>
      <c r="H196" s="41"/>
      <c r="I196" s="23"/>
    </row>
    <row r="197" spans="2:9" hidden="1" x14ac:dyDescent="0.3">
      <c r="B197" s="33">
        <v>39</v>
      </c>
      <c r="C197" s="67"/>
      <c r="D197" s="94"/>
      <c r="E197" s="95"/>
      <c r="F197" s="96"/>
      <c r="G197" s="96"/>
      <c r="H197" s="41"/>
      <c r="I197" s="23"/>
    </row>
    <row r="198" spans="2:9" hidden="1" x14ac:dyDescent="0.3">
      <c r="B198" s="33">
        <v>40</v>
      </c>
      <c r="C198" s="67"/>
      <c r="D198" s="94"/>
      <c r="E198" s="95"/>
      <c r="F198" s="96"/>
      <c r="G198" s="96"/>
      <c r="H198" s="41"/>
      <c r="I198" s="23"/>
    </row>
    <row r="199" spans="2:9" x14ac:dyDescent="0.3">
      <c r="B199" s="76"/>
      <c r="C199" s="77"/>
      <c r="D199" s="35"/>
      <c r="E199" s="35"/>
      <c r="F199" s="47"/>
      <c r="G199" s="47"/>
      <c r="H199" s="62"/>
      <c r="I199" s="35"/>
    </row>
    <row r="200" spans="2:9" x14ac:dyDescent="0.3">
      <c r="B200" s="8" t="s">
        <v>27</v>
      </c>
      <c r="C200" s="5"/>
      <c r="D200" s="6"/>
      <c r="E200" s="6"/>
      <c r="F200" s="6"/>
      <c r="G200" s="6"/>
      <c r="H200" s="6"/>
      <c r="I200" s="6"/>
    </row>
    <row r="201" spans="2:9" x14ac:dyDescent="0.3">
      <c r="B201" s="9" t="s">
        <v>28</v>
      </c>
      <c r="C201" s="5"/>
      <c r="D201" s="6"/>
      <c r="E201" s="6"/>
      <c r="F201" s="6"/>
      <c r="G201" s="6"/>
      <c r="H201" s="6"/>
      <c r="I201" s="6"/>
    </row>
    <row r="202" spans="2:9" x14ac:dyDescent="0.3">
      <c r="B202" s="9" t="s">
        <v>29</v>
      </c>
      <c r="C202" s="5"/>
      <c r="D202" s="6"/>
      <c r="E202" s="6"/>
      <c r="F202" s="6"/>
      <c r="G202" s="6"/>
      <c r="H202" s="6"/>
      <c r="I202" s="6"/>
    </row>
    <row r="203" spans="2:9" x14ac:dyDescent="0.3">
      <c r="B203" s="9" t="s">
        <v>30</v>
      </c>
      <c r="C203" s="5"/>
      <c r="D203" s="6"/>
      <c r="E203" s="6"/>
      <c r="F203" s="6"/>
      <c r="G203" s="6"/>
      <c r="H203" s="6"/>
      <c r="I203" s="6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D59:G59"/>
    <mergeCell ref="D54:I54"/>
    <mergeCell ref="B55:J55"/>
    <mergeCell ref="D56:G56"/>
    <mergeCell ref="H56:I57"/>
    <mergeCell ref="D57:G57"/>
    <mergeCell ref="B109:B110"/>
    <mergeCell ref="C109:C110"/>
    <mergeCell ref="H109:H110"/>
    <mergeCell ref="I109:I110"/>
    <mergeCell ref="D110:G110"/>
    <mergeCell ref="B160:B161"/>
    <mergeCell ref="H160:H161"/>
    <mergeCell ref="D156:I156"/>
    <mergeCell ref="B157:J157"/>
    <mergeCell ref="D158:G158"/>
    <mergeCell ref="H158:I159"/>
    <mergeCell ref="D155:I155"/>
    <mergeCell ref="D104:I104"/>
    <mergeCell ref="D53:I53"/>
    <mergeCell ref="D159:G159"/>
    <mergeCell ref="C160:C161"/>
    <mergeCell ref="I160:I161"/>
    <mergeCell ref="D161:G161"/>
    <mergeCell ref="D105:I105"/>
    <mergeCell ref="B106:J106"/>
    <mergeCell ref="D107:G107"/>
    <mergeCell ref="H107:I108"/>
    <mergeCell ref="D108:G108"/>
    <mergeCell ref="B58:B59"/>
    <mergeCell ref="C58:C59"/>
    <mergeCell ref="H58:H59"/>
    <mergeCell ref="I58:I59"/>
  </mergeCells>
  <phoneticPr fontId="16" type="noConversion"/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N203"/>
  <sheetViews>
    <sheetView topLeftCell="A16" zoomScale="80" zoomScaleNormal="80" workbookViewId="0">
      <selection activeCell="H20" sqref="H20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1" width="9" style="3"/>
    <col min="12" max="14" width="10.875" style="3" bestFit="1" customWidth="1"/>
    <col min="15" max="16384" width="9" style="3"/>
  </cols>
  <sheetData>
    <row r="3" spans="2:12" s="28" customFormat="1" ht="18" x14ac:dyDescent="0.35">
      <c r="B3" s="24"/>
      <c r="C3" s="24"/>
      <c r="D3" s="137" t="s">
        <v>36</v>
      </c>
      <c r="E3" s="137"/>
      <c r="F3" s="137"/>
      <c r="G3" s="137"/>
      <c r="H3" s="137"/>
      <c r="I3" s="137"/>
      <c r="J3" s="24"/>
      <c r="K3" s="29"/>
      <c r="L3" s="2"/>
    </row>
    <row r="4" spans="2:12" ht="15.9" customHeight="1" x14ac:dyDescent="0.3">
      <c r="B4" s="132" t="s">
        <v>88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28" t="s">
        <v>6</v>
      </c>
      <c r="E5" s="129"/>
      <c r="F5" s="129"/>
      <c r="G5" s="130"/>
      <c r="H5" s="120" t="s">
        <v>7</v>
      </c>
      <c r="I5" s="121"/>
      <c r="J5" s="4"/>
      <c r="K5" s="1"/>
      <c r="L5" s="2"/>
    </row>
    <row r="6" spans="2:12" x14ac:dyDescent="0.3">
      <c r="B6" s="12"/>
      <c r="C6" s="13"/>
      <c r="D6" s="124" t="s">
        <v>9</v>
      </c>
      <c r="E6" s="125"/>
      <c r="F6" s="125"/>
      <c r="G6" s="126"/>
      <c r="H6" s="122"/>
      <c r="I6" s="123"/>
      <c r="J6" s="4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15" t="s">
        <v>16</v>
      </c>
      <c r="I7" s="113" t="s">
        <v>17</v>
      </c>
      <c r="J7" s="17"/>
      <c r="K7" s="1"/>
      <c r="L7" s="2"/>
    </row>
    <row r="8" spans="2:12" ht="35.4" customHeight="1" x14ac:dyDescent="0.3">
      <c r="B8" s="112"/>
      <c r="C8" s="114"/>
      <c r="D8" s="117" t="s">
        <v>20</v>
      </c>
      <c r="E8" s="118"/>
      <c r="F8" s="118"/>
      <c r="G8" s="119"/>
      <c r="H8" s="116"/>
      <c r="I8" s="114"/>
      <c r="J8" s="17"/>
      <c r="K8" s="1"/>
    </row>
    <row r="9" spans="2:12" x14ac:dyDescent="0.3">
      <c r="B9" s="33">
        <v>4</v>
      </c>
      <c r="C9" s="31" t="s">
        <v>21</v>
      </c>
      <c r="D9" s="18">
        <v>132961.5</v>
      </c>
      <c r="E9" s="18">
        <v>0</v>
      </c>
      <c r="F9" s="36">
        <f>+D9+E9</f>
        <v>132961.5</v>
      </c>
      <c r="G9" s="18">
        <f>+F9</f>
        <v>132961.5</v>
      </c>
      <c r="H9" s="37">
        <f t="shared" ref="H9:H30" si="0">((G9-I9)/I9)*100</f>
        <v>517.99442249593312</v>
      </c>
      <c r="I9" s="18">
        <v>21515</v>
      </c>
      <c r="J9" s="19"/>
      <c r="K9" s="1"/>
    </row>
    <row r="10" spans="2:12" x14ac:dyDescent="0.3">
      <c r="B10" s="33">
        <v>5</v>
      </c>
      <c r="C10" s="31" t="s">
        <v>22</v>
      </c>
      <c r="D10" s="23">
        <v>412465.22</v>
      </c>
      <c r="E10" s="23">
        <v>0</v>
      </c>
      <c r="F10" s="40">
        <f>+E10+D10</f>
        <v>412465.22</v>
      </c>
      <c r="G10" s="23">
        <f>+G9+F10</f>
        <v>545426.72</v>
      </c>
      <c r="H10" s="41">
        <f t="shared" si="0"/>
        <v>21.041028790353149</v>
      </c>
      <c r="I10" s="23">
        <f>+I9+429098.09</f>
        <v>450613.09</v>
      </c>
      <c r="J10" s="19"/>
      <c r="K10" s="1"/>
    </row>
    <row r="11" spans="2:12" x14ac:dyDescent="0.3">
      <c r="B11" s="33">
        <v>6</v>
      </c>
      <c r="C11" s="31" t="s">
        <v>23</v>
      </c>
      <c r="D11" s="23">
        <v>838322.14</v>
      </c>
      <c r="E11" s="23">
        <v>0</v>
      </c>
      <c r="F11" s="40">
        <f>+E11+D11</f>
        <v>838322.14</v>
      </c>
      <c r="G11" s="23">
        <f t="shared" ref="G11:G24" si="1">+G10+F11</f>
        <v>1383748.8599999999</v>
      </c>
      <c r="H11" s="41">
        <f t="shared" si="0"/>
        <v>73.250922043105746</v>
      </c>
      <c r="I11" s="23">
        <f>+I10+348083.3</f>
        <v>798696.39</v>
      </c>
      <c r="J11" s="19"/>
      <c r="K11" s="1"/>
    </row>
    <row r="12" spans="2:12" x14ac:dyDescent="0.3">
      <c r="B12" s="33">
        <v>7</v>
      </c>
      <c r="C12" s="31" t="s">
        <v>24</v>
      </c>
      <c r="D12" s="23">
        <v>322426.14</v>
      </c>
      <c r="E12" s="23">
        <v>352980</v>
      </c>
      <c r="F12" s="40">
        <f t="shared" ref="F12:F24" si="2">+E12+D12</f>
        <v>675406.14</v>
      </c>
      <c r="G12" s="23">
        <f>+G11+F12</f>
        <v>2059155</v>
      </c>
      <c r="H12" s="41">
        <f t="shared" si="0"/>
        <v>39.718352802955806</v>
      </c>
      <c r="I12" s="23">
        <f>+I11+675093.53</f>
        <v>1473789.92</v>
      </c>
      <c r="J12" s="19"/>
      <c r="K12" s="1"/>
    </row>
    <row r="13" spans="2:12" x14ac:dyDescent="0.3">
      <c r="B13" s="33">
        <v>8</v>
      </c>
      <c r="C13" s="31" t="s">
        <v>25</v>
      </c>
      <c r="D13" s="23">
        <v>773175.73</v>
      </c>
      <c r="E13" s="23">
        <v>0</v>
      </c>
      <c r="F13" s="40">
        <f t="shared" si="2"/>
        <v>773175.73</v>
      </c>
      <c r="G13" s="23">
        <f t="shared" si="1"/>
        <v>2832330.73</v>
      </c>
      <c r="H13" s="41">
        <f t="shared" si="0"/>
        <v>46.437596039333847</v>
      </c>
      <c r="I13" s="23">
        <v>1934155.44</v>
      </c>
      <c r="J13" s="19"/>
      <c r="K13" s="1"/>
    </row>
    <row r="14" spans="2:12" x14ac:dyDescent="0.3">
      <c r="B14" s="33">
        <v>9</v>
      </c>
      <c r="C14" s="31" t="s">
        <v>26</v>
      </c>
      <c r="D14" s="23">
        <v>729160.26</v>
      </c>
      <c r="E14" s="23">
        <v>0</v>
      </c>
      <c r="F14" s="40">
        <f t="shared" si="2"/>
        <v>729160.26</v>
      </c>
      <c r="G14" s="23">
        <f t="shared" si="1"/>
        <v>3561490.99</v>
      </c>
      <c r="H14" s="41">
        <f t="shared" si="0"/>
        <v>36.887881745820856</v>
      </c>
      <c r="I14" s="23">
        <f>+I13+667602.25</f>
        <v>2601757.69</v>
      </c>
      <c r="J14" s="19"/>
      <c r="K14" s="1"/>
    </row>
    <row r="15" spans="2:12" x14ac:dyDescent="0.3">
      <c r="B15" s="33">
        <v>10</v>
      </c>
      <c r="C15" s="31" t="s">
        <v>55</v>
      </c>
      <c r="D15" s="21">
        <v>1093443.6100000001</v>
      </c>
      <c r="E15" s="23">
        <v>69047</v>
      </c>
      <c r="F15" s="22">
        <f t="shared" si="2"/>
        <v>1162490.6100000001</v>
      </c>
      <c r="G15" s="23">
        <f t="shared" si="1"/>
        <v>4723981.6000000006</v>
      </c>
      <c r="H15" s="41">
        <f t="shared" si="0"/>
        <v>34.626250424541723</v>
      </c>
      <c r="I15" s="23">
        <f>+I14+907202.55</f>
        <v>3508960.24</v>
      </c>
      <c r="J15" s="19"/>
      <c r="K15" s="1"/>
    </row>
    <row r="16" spans="2:12" x14ac:dyDescent="0.3">
      <c r="B16" s="33">
        <v>11</v>
      </c>
      <c r="C16" s="31" t="s">
        <v>56</v>
      </c>
      <c r="D16" s="21">
        <v>1093426.69</v>
      </c>
      <c r="E16" s="23">
        <v>0</v>
      </c>
      <c r="F16" s="22">
        <v>1039426.69</v>
      </c>
      <c r="G16" s="23">
        <f t="shared" si="1"/>
        <v>5763408.290000001</v>
      </c>
      <c r="H16" s="41">
        <f t="shared" si="0"/>
        <v>34.941834929239405</v>
      </c>
      <c r="I16" s="23">
        <f>+I15+762071.27</f>
        <v>4271031.51</v>
      </c>
      <c r="J16" s="19"/>
      <c r="K16" s="1"/>
    </row>
    <row r="17" spans="2:14" x14ac:dyDescent="0.3">
      <c r="B17" s="33">
        <v>12</v>
      </c>
      <c r="C17" s="31" t="s">
        <v>71</v>
      </c>
      <c r="D17" s="21">
        <v>1025660.69</v>
      </c>
      <c r="E17" s="23">
        <v>0</v>
      </c>
      <c r="F17" s="22">
        <f t="shared" si="2"/>
        <v>1025660.69</v>
      </c>
      <c r="G17" s="23">
        <f t="shared" si="1"/>
        <v>6789068.9800000004</v>
      </c>
      <c r="H17" s="41">
        <f t="shared" si="0"/>
        <v>41.568958438793501</v>
      </c>
      <c r="I17" s="23">
        <f>+I16+524560.02</f>
        <v>4795591.5299999993</v>
      </c>
      <c r="J17" s="19"/>
      <c r="K17" s="1"/>
    </row>
    <row r="18" spans="2:14" x14ac:dyDescent="0.3">
      <c r="B18" s="33">
        <v>13</v>
      </c>
      <c r="C18" s="31" t="s">
        <v>57</v>
      </c>
      <c r="D18" s="21">
        <v>477617.16</v>
      </c>
      <c r="E18" s="23">
        <v>0</v>
      </c>
      <c r="F18" s="22">
        <f t="shared" si="2"/>
        <v>477617.16</v>
      </c>
      <c r="G18" s="23">
        <f t="shared" si="1"/>
        <v>7266686.1400000006</v>
      </c>
      <c r="H18" s="41">
        <f t="shared" si="0"/>
        <v>40.553191663523187</v>
      </c>
      <c r="I18" s="23">
        <v>5170061.28</v>
      </c>
      <c r="J18" s="19"/>
      <c r="K18" s="1"/>
    </row>
    <row r="19" spans="2:14" x14ac:dyDescent="0.3">
      <c r="B19" s="33">
        <v>14</v>
      </c>
      <c r="C19" s="49" t="s">
        <v>58</v>
      </c>
      <c r="D19" s="21">
        <v>147509.1</v>
      </c>
      <c r="E19" s="23">
        <v>25367.5</v>
      </c>
      <c r="F19" s="22">
        <f t="shared" si="2"/>
        <v>172876.6</v>
      </c>
      <c r="G19" s="23">
        <f t="shared" si="1"/>
        <v>7439562.7400000002</v>
      </c>
      <c r="H19" s="41">
        <f t="shared" si="0"/>
        <v>38.736861793392933</v>
      </c>
      <c r="I19" s="23">
        <f>+I18+192293.5</f>
        <v>5362354.78</v>
      </c>
      <c r="J19" s="19"/>
      <c r="K19" s="1"/>
    </row>
    <row r="20" spans="2:14" x14ac:dyDescent="0.3">
      <c r="B20" s="33">
        <v>15</v>
      </c>
      <c r="C20" s="31" t="s">
        <v>59</v>
      </c>
      <c r="D20" s="21">
        <v>325418.5</v>
      </c>
      <c r="E20" s="23">
        <v>0</v>
      </c>
      <c r="F20" s="22">
        <f t="shared" si="2"/>
        <v>325418.5</v>
      </c>
      <c r="G20" s="23">
        <f t="shared" si="1"/>
        <v>7764981.2400000002</v>
      </c>
      <c r="H20" s="41">
        <f t="shared" si="0"/>
        <v>38.702057024710015</v>
      </c>
      <c r="I20" s="23">
        <f>+I19+235962.51</f>
        <v>5598317.29</v>
      </c>
      <c r="J20" s="19"/>
      <c r="K20" s="1"/>
    </row>
    <row r="21" spans="2:14" x14ac:dyDescent="0.3">
      <c r="B21" s="33">
        <v>16</v>
      </c>
      <c r="C21" s="31" t="s">
        <v>60</v>
      </c>
      <c r="D21" s="21">
        <v>348307.07</v>
      </c>
      <c r="E21" s="23">
        <v>0</v>
      </c>
      <c r="F21" s="22">
        <f t="shared" si="2"/>
        <v>348307.07</v>
      </c>
      <c r="G21" s="23">
        <f t="shared" si="1"/>
        <v>8113288.3100000005</v>
      </c>
      <c r="H21" s="41">
        <f t="shared" si="0"/>
        <v>38.207212930243472</v>
      </c>
      <c r="I21" s="23">
        <v>5870379.7999999998</v>
      </c>
      <c r="J21" s="19"/>
      <c r="K21" s="1"/>
    </row>
    <row r="22" spans="2:14" x14ac:dyDescent="0.3">
      <c r="B22" s="33">
        <v>17</v>
      </c>
      <c r="C22" s="31" t="s">
        <v>61</v>
      </c>
      <c r="D22" s="21">
        <v>171055.08</v>
      </c>
      <c r="E22" s="23">
        <v>0</v>
      </c>
      <c r="F22" s="22">
        <f t="shared" si="2"/>
        <v>171055.08</v>
      </c>
      <c r="G22" s="23">
        <f t="shared" si="1"/>
        <v>8284343.3900000006</v>
      </c>
      <c r="H22" s="41">
        <f t="shared" si="0"/>
        <v>34.446025803968887</v>
      </c>
      <c r="I22" s="23">
        <f>+I21+291456.03</f>
        <v>6161835.8300000001</v>
      </c>
      <c r="J22" s="19"/>
      <c r="K22" s="1"/>
    </row>
    <row r="23" spans="2:14" x14ac:dyDescent="0.3">
      <c r="B23" s="33">
        <v>18</v>
      </c>
      <c r="C23" s="31" t="s">
        <v>62</v>
      </c>
      <c r="D23" s="23">
        <v>76257.02</v>
      </c>
      <c r="E23" s="23">
        <v>0</v>
      </c>
      <c r="F23" s="40">
        <f t="shared" si="2"/>
        <v>76257.02</v>
      </c>
      <c r="G23" s="23">
        <f t="shared" si="1"/>
        <v>8360600.4100000001</v>
      </c>
      <c r="H23" s="41">
        <f t="shared" si="0"/>
        <v>31.058738543573028</v>
      </c>
      <c r="I23" s="23">
        <f>+I22+217441.51</f>
        <v>6379277.3399999999</v>
      </c>
      <c r="J23" s="19"/>
      <c r="K23" s="1"/>
    </row>
    <row r="24" spans="2:14" x14ac:dyDescent="0.3">
      <c r="B24" s="33">
        <v>19</v>
      </c>
      <c r="C24" s="31" t="s">
        <v>63</v>
      </c>
      <c r="D24" s="23">
        <v>21513</v>
      </c>
      <c r="E24" s="23">
        <v>0</v>
      </c>
      <c r="F24" s="22">
        <f t="shared" si="2"/>
        <v>21513</v>
      </c>
      <c r="G24" s="23">
        <f t="shared" si="1"/>
        <v>8382113.4100000001</v>
      </c>
      <c r="H24" s="41">
        <f t="shared" si="0"/>
        <v>30.143705850263164</v>
      </c>
      <c r="I24" s="23">
        <f>+I23+61382.51</f>
        <v>6440659.8499999996</v>
      </c>
      <c r="J24" s="19"/>
      <c r="K24" s="1"/>
      <c r="M24" s="32"/>
      <c r="N24" s="32"/>
    </row>
    <row r="25" spans="2:14" x14ac:dyDescent="0.3">
      <c r="B25" s="33">
        <v>20</v>
      </c>
      <c r="C25" s="31" t="s">
        <v>64</v>
      </c>
      <c r="D25" s="23">
        <v>11193</v>
      </c>
      <c r="E25" s="23">
        <v>0</v>
      </c>
      <c r="F25" s="40">
        <f t="shared" ref="F25:F31" si="3">+E25+D25</f>
        <v>11193</v>
      </c>
      <c r="G25" s="23">
        <f t="shared" ref="G25:G31" si="4">+G24+F25</f>
        <v>8393306.4100000001</v>
      </c>
      <c r="H25" s="41">
        <f t="shared" si="0"/>
        <v>29.668661853044618</v>
      </c>
      <c r="I25" s="23">
        <f>+I24+32227.5</f>
        <v>6472887.3499999996</v>
      </c>
      <c r="J25" s="19"/>
      <c r="K25" s="1"/>
      <c r="L25" s="32"/>
    </row>
    <row r="26" spans="2:14" x14ac:dyDescent="0.3">
      <c r="B26" s="33">
        <v>21</v>
      </c>
      <c r="C26" s="31" t="s">
        <v>73</v>
      </c>
      <c r="D26" s="23">
        <v>7300.5</v>
      </c>
      <c r="E26" s="23">
        <v>0</v>
      </c>
      <c r="F26" s="40">
        <f t="shared" si="3"/>
        <v>7300.5</v>
      </c>
      <c r="G26" s="23">
        <f t="shared" si="4"/>
        <v>8400606.9100000001</v>
      </c>
      <c r="H26" s="41">
        <f t="shared" si="0"/>
        <v>29.75688105282256</v>
      </c>
      <c r="I26" s="23">
        <f>+I25+1225.5</f>
        <v>6474112.8499999996</v>
      </c>
      <c r="J26" s="19"/>
      <c r="K26" s="1"/>
      <c r="L26" s="32"/>
      <c r="M26" s="32"/>
    </row>
    <row r="27" spans="2:14" x14ac:dyDescent="0.3">
      <c r="B27" s="33">
        <v>22</v>
      </c>
      <c r="C27" s="31" t="s">
        <v>66</v>
      </c>
      <c r="D27" s="23">
        <v>64702.5</v>
      </c>
      <c r="E27" s="23">
        <v>0</v>
      </c>
      <c r="F27" s="40">
        <f t="shared" si="3"/>
        <v>64702.5</v>
      </c>
      <c r="G27" s="23">
        <f t="shared" si="4"/>
        <v>8465309.4100000001</v>
      </c>
      <c r="H27" s="41">
        <f t="shared" si="0"/>
        <v>30.756284391922527</v>
      </c>
      <c r="I27" s="23">
        <f>+I26+0</f>
        <v>6474112.8499999996</v>
      </c>
      <c r="J27" s="19"/>
      <c r="K27" s="1"/>
    </row>
    <row r="28" spans="2:14" x14ac:dyDescent="0.3">
      <c r="B28" s="33">
        <v>23</v>
      </c>
      <c r="C28" s="31" t="s">
        <v>76</v>
      </c>
      <c r="D28" s="23">
        <v>12255.5</v>
      </c>
      <c r="E28" s="23">
        <v>0</v>
      </c>
      <c r="F28" s="40">
        <f t="shared" si="3"/>
        <v>12255.5</v>
      </c>
      <c r="G28" s="23">
        <f t="shared" si="4"/>
        <v>8477564.9100000001</v>
      </c>
      <c r="H28" s="41">
        <f t="shared" si="0"/>
        <v>30.945584459498583</v>
      </c>
      <c r="I28" s="23">
        <f>+I27+0</f>
        <v>6474112.8499999996</v>
      </c>
      <c r="J28" s="19"/>
      <c r="K28" s="1"/>
    </row>
    <row r="29" spans="2:14" x14ac:dyDescent="0.3">
      <c r="B29" s="33">
        <v>24</v>
      </c>
      <c r="C29" s="31" t="s">
        <v>68</v>
      </c>
      <c r="D29" s="23">
        <v>860</v>
      </c>
      <c r="E29" s="23">
        <v>0</v>
      </c>
      <c r="F29" s="40">
        <f t="shared" si="3"/>
        <v>860</v>
      </c>
      <c r="G29" s="23">
        <f t="shared" si="4"/>
        <v>8478424.9100000001</v>
      </c>
      <c r="H29" s="41">
        <f t="shared" si="0"/>
        <v>30.792552159832947</v>
      </c>
      <c r="I29" s="23">
        <f>+I28+8232.49</f>
        <v>6482345.3399999999</v>
      </c>
      <c r="J29" s="19"/>
      <c r="K29" s="1"/>
      <c r="L29" s="32"/>
    </row>
    <row r="30" spans="2:14" x14ac:dyDescent="0.3">
      <c r="B30" s="33">
        <v>25</v>
      </c>
      <c r="C30" s="67" t="s">
        <v>78</v>
      </c>
      <c r="D30" s="23">
        <v>0</v>
      </c>
      <c r="E30" s="23">
        <v>0</v>
      </c>
      <c r="F30" s="40">
        <f t="shared" si="3"/>
        <v>0</v>
      </c>
      <c r="G30" s="23">
        <f t="shared" si="4"/>
        <v>8478424.9100000001</v>
      </c>
      <c r="H30" s="41">
        <f t="shared" si="0"/>
        <v>30.792552159832947</v>
      </c>
      <c r="I30" s="23">
        <f>+I29+0</f>
        <v>6482345.3399999999</v>
      </c>
      <c r="J30" s="19"/>
      <c r="K30" s="1"/>
    </row>
    <row r="31" spans="2:14" x14ac:dyDescent="0.3">
      <c r="B31" s="97">
        <v>26</v>
      </c>
      <c r="C31" s="93" t="s">
        <v>70</v>
      </c>
      <c r="D31" s="94">
        <v>200.5</v>
      </c>
      <c r="E31" s="95">
        <v>0</v>
      </c>
      <c r="F31" s="96">
        <f t="shared" si="3"/>
        <v>200.5</v>
      </c>
      <c r="G31" s="95">
        <f t="shared" si="4"/>
        <v>8478625.4100000001</v>
      </c>
      <c r="H31" s="41">
        <f t="shared" ref="H31" si="5">((G31-I31)/I31)*100</f>
        <v>30.795645176163976</v>
      </c>
      <c r="I31" s="23">
        <f>+I30+0</f>
        <v>6482345.3399999999</v>
      </c>
      <c r="J31" s="19"/>
      <c r="K31" s="1"/>
    </row>
    <row r="32" spans="2:14" x14ac:dyDescent="0.3">
      <c r="B32" s="97">
        <v>27</v>
      </c>
      <c r="C32" s="67" t="s">
        <v>79</v>
      </c>
      <c r="D32" s="102">
        <v>0</v>
      </c>
      <c r="E32" s="103">
        <v>0</v>
      </c>
      <c r="F32" s="104">
        <f t="shared" ref="F32" si="6">+E32+D32</f>
        <v>0</v>
      </c>
      <c r="G32" s="103">
        <f t="shared" ref="G32" si="7">+G31+F32</f>
        <v>8478625.4100000001</v>
      </c>
      <c r="H32" s="41">
        <f t="shared" ref="H32" si="8">((G32-I32)/I32)*100</f>
        <v>30.795645176163976</v>
      </c>
      <c r="I32" s="23">
        <f>+I31+0</f>
        <v>6482345.3399999999</v>
      </c>
      <c r="J32" s="19"/>
      <c r="K32" s="1"/>
    </row>
    <row r="33" spans="2:12" x14ac:dyDescent="0.3">
      <c r="B33" s="97">
        <v>28</v>
      </c>
      <c r="C33" s="93" t="s">
        <v>80</v>
      </c>
      <c r="D33" s="94">
        <v>0</v>
      </c>
      <c r="E33" s="95">
        <v>4389</v>
      </c>
      <c r="F33" s="96">
        <f t="shared" ref="F33" si="9">+E33+D33</f>
        <v>4389</v>
      </c>
      <c r="G33" s="95">
        <f t="shared" ref="G33" si="10">+G32+F33</f>
        <v>8483014.4100000001</v>
      </c>
      <c r="H33" s="41">
        <f t="shared" ref="H33" si="11">((G33-I33)/I33)*100</f>
        <v>30.863352152108583</v>
      </c>
      <c r="I33" s="23">
        <f>+I32+0</f>
        <v>6482345.3399999999</v>
      </c>
      <c r="J33" s="19"/>
      <c r="K33" s="1"/>
      <c r="L33" s="32"/>
    </row>
    <row r="34" spans="2:12" x14ac:dyDescent="0.3">
      <c r="B34" s="97">
        <v>29</v>
      </c>
      <c r="C34" s="67" t="s">
        <v>81</v>
      </c>
      <c r="D34" s="94">
        <v>0</v>
      </c>
      <c r="E34" s="95">
        <v>0</v>
      </c>
      <c r="F34" s="96">
        <f t="shared" ref="F34:F38" si="12">+E34+D34</f>
        <v>0</v>
      </c>
      <c r="G34" s="95">
        <f t="shared" ref="G34:G37" si="13">+G33+F34</f>
        <v>8483014.4100000001</v>
      </c>
      <c r="H34" s="41">
        <f t="shared" ref="H34:H37" si="14">((G34-I34)/I34)*100</f>
        <v>30.863352152108583</v>
      </c>
      <c r="I34" s="23">
        <f t="shared" ref="I34:I40" si="15">+I33+0</f>
        <v>6482345.3399999999</v>
      </c>
      <c r="J34" s="10"/>
      <c r="K34" s="1"/>
      <c r="L34" s="32"/>
    </row>
    <row r="35" spans="2:12" x14ac:dyDescent="0.3">
      <c r="B35" s="97">
        <v>30</v>
      </c>
      <c r="C35" s="67" t="s">
        <v>82</v>
      </c>
      <c r="D35" s="94">
        <v>0</v>
      </c>
      <c r="E35" s="95">
        <v>0</v>
      </c>
      <c r="F35" s="96">
        <f t="shared" si="12"/>
        <v>0</v>
      </c>
      <c r="G35" s="95">
        <f t="shared" si="13"/>
        <v>8483014.4100000001</v>
      </c>
      <c r="H35" s="41">
        <f t="shared" si="14"/>
        <v>30.863352152108583</v>
      </c>
      <c r="I35" s="23">
        <f t="shared" si="15"/>
        <v>6482345.3399999999</v>
      </c>
      <c r="J35" s="10"/>
      <c r="K35" s="1"/>
      <c r="L35" s="32"/>
    </row>
    <row r="36" spans="2:12" x14ac:dyDescent="0.3">
      <c r="B36" s="97">
        <v>31</v>
      </c>
      <c r="C36" s="67" t="s">
        <v>83</v>
      </c>
      <c r="D36" s="94">
        <v>0</v>
      </c>
      <c r="E36" s="95">
        <v>0</v>
      </c>
      <c r="F36" s="96">
        <f t="shared" si="12"/>
        <v>0</v>
      </c>
      <c r="G36" s="95">
        <f t="shared" si="13"/>
        <v>8483014.4100000001</v>
      </c>
      <c r="H36" s="41">
        <f t="shared" si="14"/>
        <v>30.863352152108583</v>
      </c>
      <c r="I36" s="23">
        <f t="shared" si="15"/>
        <v>6482345.3399999999</v>
      </c>
      <c r="J36" s="10"/>
      <c r="K36" s="1"/>
      <c r="L36" s="32"/>
    </row>
    <row r="37" spans="2:12" x14ac:dyDescent="0.3">
      <c r="B37" s="97">
        <v>32</v>
      </c>
      <c r="C37" s="67" t="s">
        <v>84</v>
      </c>
      <c r="D37" s="94">
        <v>0</v>
      </c>
      <c r="E37" s="95">
        <v>0</v>
      </c>
      <c r="F37" s="96">
        <f t="shared" si="12"/>
        <v>0</v>
      </c>
      <c r="G37" s="95">
        <f t="shared" si="13"/>
        <v>8483014.4100000001</v>
      </c>
      <c r="H37" s="41">
        <f t="shared" si="14"/>
        <v>30.863352152108583</v>
      </c>
      <c r="I37" s="23">
        <f t="shared" si="15"/>
        <v>6482345.3399999999</v>
      </c>
      <c r="J37" s="10"/>
      <c r="K37" s="1"/>
      <c r="L37" s="32"/>
    </row>
    <row r="38" spans="2:12" x14ac:dyDescent="0.3">
      <c r="B38" s="97">
        <v>33</v>
      </c>
      <c r="C38" s="67" t="s">
        <v>85</v>
      </c>
      <c r="D38" s="94">
        <v>520.5</v>
      </c>
      <c r="E38" s="95">
        <v>0.5</v>
      </c>
      <c r="F38" s="96">
        <f t="shared" si="12"/>
        <v>521</v>
      </c>
      <c r="G38" s="95">
        <f>+G37+F38</f>
        <v>8483535.4100000001</v>
      </c>
      <c r="H38" s="41">
        <f t="shared" ref="H38:H40" si="16">((G38-I38)/I38)*100</f>
        <v>30.87138936661465</v>
      </c>
      <c r="I38" s="23">
        <f t="shared" si="15"/>
        <v>6482345.3399999999</v>
      </c>
      <c r="J38" s="10"/>
      <c r="K38" s="1"/>
      <c r="L38" s="32"/>
    </row>
    <row r="39" spans="2:12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8483535.4100000001</v>
      </c>
      <c r="H39" s="41">
        <f t="shared" si="16"/>
        <v>30.87138936661465</v>
      </c>
      <c r="I39" s="23">
        <f t="shared" si="15"/>
        <v>6482345.3399999999</v>
      </c>
      <c r="J39" s="10"/>
      <c r="K39" s="1"/>
      <c r="L39" s="32"/>
    </row>
    <row r="40" spans="2:12" x14ac:dyDescent="0.3">
      <c r="B40" s="33">
        <v>35</v>
      </c>
      <c r="C40" s="67" t="s">
        <v>86</v>
      </c>
      <c r="D40" s="23">
        <v>0</v>
      </c>
      <c r="E40" s="23">
        <v>0</v>
      </c>
      <c r="F40" s="40">
        <f>+E40+D40</f>
        <v>0</v>
      </c>
      <c r="G40" s="40">
        <f>+G39+F40</f>
        <v>8483535.4100000001</v>
      </c>
      <c r="H40" s="41">
        <f t="shared" si="16"/>
        <v>30.87138936661465</v>
      </c>
      <c r="I40" s="23">
        <f t="shared" si="15"/>
        <v>6482345.3399999999</v>
      </c>
      <c r="J40" s="10"/>
      <c r="K40" s="1"/>
      <c r="L40" s="32"/>
    </row>
    <row r="41" spans="2:12" hidden="1" x14ac:dyDescent="0.3">
      <c r="B41" s="97">
        <v>36</v>
      </c>
      <c r="C41" s="67"/>
      <c r="D41" s="94"/>
      <c r="E41" s="95"/>
      <c r="F41" s="96"/>
      <c r="G41" s="96"/>
      <c r="H41" s="41"/>
      <c r="I41" s="23"/>
      <c r="J41" s="10"/>
      <c r="K41" s="1"/>
      <c r="L41" s="32"/>
    </row>
    <row r="42" spans="2:12" hidden="1" x14ac:dyDescent="0.3">
      <c r="B42" s="97">
        <v>37</v>
      </c>
      <c r="C42" s="67"/>
      <c r="D42" s="94"/>
      <c r="E42" s="95"/>
      <c r="F42" s="96"/>
      <c r="G42" s="96"/>
      <c r="H42" s="41"/>
      <c r="I42" s="23"/>
      <c r="J42" s="10"/>
      <c r="K42" s="1"/>
      <c r="L42" s="32"/>
    </row>
    <row r="43" spans="2:12" hidden="1" x14ac:dyDescent="0.3">
      <c r="B43" s="97">
        <v>38</v>
      </c>
      <c r="C43" s="67"/>
      <c r="D43" s="94"/>
      <c r="E43" s="95"/>
      <c r="F43" s="96"/>
      <c r="G43" s="96"/>
      <c r="H43" s="41"/>
      <c r="I43" s="23"/>
      <c r="J43" s="10"/>
      <c r="K43" s="1"/>
      <c r="L43" s="32"/>
    </row>
    <row r="44" spans="2:12" hidden="1" x14ac:dyDescent="0.3">
      <c r="B44" s="97">
        <v>39</v>
      </c>
      <c r="C44" s="67"/>
      <c r="D44" s="94"/>
      <c r="E44" s="95"/>
      <c r="F44" s="96"/>
      <c r="G44" s="96"/>
      <c r="H44" s="41"/>
      <c r="I44" s="23"/>
      <c r="J44" s="10"/>
      <c r="K44" s="1"/>
      <c r="L44" s="32"/>
    </row>
    <row r="45" spans="2:12" hidden="1" x14ac:dyDescent="0.3">
      <c r="B45" s="97">
        <v>40</v>
      </c>
      <c r="C45" s="67"/>
      <c r="D45" s="94"/>
      <c r="E45" s="95"/>
      <c r="F45" s="96"/>
      <c r="G45" s="96"/>
      <c r="H45" s="41"/>
      <c r="I45" s="23"/>
      <c r="J45" s="10"/>
      <c r="K45" s="1"/>
      <c r="L45" s="32"/>
    </row>
    <row r="46" spans="2:12" x14ac:dyDescent="0.3">
      <c r="B46" s="5"/>
      <c r="C46" s="5"/>
      <c r="D46" s="6"/>
      <c r="E46" s="6"/>
      <c r="F46" s="6"/>
      <c r="G46" s="6"/>
      <c r="H46" s="7"/>
      <c r="I46" s="6"/>
      <c r="J46" s="5"/>
      <c r="K46" s="1"/>
    </row>
    <row r="47" spans="2:12" x14ac:dyDescent="0.3">
      <c r="B47" s="8" t="s">
        <v>27</v>
      </c>
      <c r="C47" s="5"/>
      <c r="D47" s="5"/>
      <c r="E47" s="5"/>
      <c r="F47" s="5"/>
      <c r="G47" s="5"/>
      <c r="H47" s="5"/>
      <c r="I47" s="5"/>
      <c r="J47" s="5"/>
      <c r="K47" s="1"/>
    </row>
    <row r="48" spans="2:12" x14ac:dyDescent="0.3">
      <c r="B48" s="9" t="s">
        <v>28</v>
      </c>
      <c r="C48" s="5"/>
      <c r="D48" s="5"/>
      <c r="E48" s="5"/>
      <c r="F48" s="5"/>
      <c r="G48" s="5"/>
      <c r="H48" s="5"/>
      <c r="I48" s="5"/>
      <c r="J48" s="5"/>
      <c r="K48" s="1"/>
    </row>
    <row r="49" spans="2:11" x14ac:dyDescent="0.3">
      <c r="B49" s="9" t="s">
        <v>29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">
      <c r="B50" s="9" t="s">
        <v>30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">
      <c r="B51" s="9"/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">
      <c r="B52" s="9"/>
      <c r="C52" s="5"/>
      <c r="D52" s="5"/>
      <c r="E52" s="5"/>
      <c r="F52" s="5"/>
      <c r="G52" s="5"/>
      <c r="H52" s="5"/>
      <c r="I52" s="5"/>
      <c r="J52" s="5"/>
      <c r="K52" s="1"/>
    </row>
    <row r="53" spans="2:11" ht="18" x14ac:dyDescent="0.35">
      <c r="B53" s="10"/>
      <c r="C53" s="10"/>
      <c r="D53" s="135" t="s">
        <v>31</v>
      </c>
      <c r="E53" s="135"/>
      <c r="F53" s="135"/>
      <c r="G53" s="135"/>
      <c r="H53" s="135"/>
      <c r="I53" s="135"/>
      <c r="J53" s="10"/>
    </row>
    <row r="54" spans="2:11" s="28" customFormat="1" ht="15.6" x14ac:dyDescent="0.3">
      <c r="B54" s="24"/>
      <c r="C54" s="24"/>
      <c r="D54" s="136" t="s">
        <v>36</v>
      </c>
      <c r="E54" s="136"/>
      <c r="F54" s="136"/>
      <c r="G54" s="136"/>
      <c r="H54" s="136"/>
      <c r="I54" s="136"/>
      <c r="J54" s="24"/>
    </row>
    <row r="55" spans="2:11" ht="15.9" customHeight="1" x14ac:dyDescent="0.3">
      <c r="B55" s="132" t="s">
        <v>88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28" t="s">
        <v>6</v>
      </c>
      <c r="E56" s="129"/>
      <c r="F56" s="129"/>
      <c r="G56" s="130"/>
      <c r="H56" s="120" t="s">
        <v>7</v>
      </c>
      <c r="I56" s="121"/>
      <c r="J56" s="4"/>
    </row>
    <row r="57" spans="2:11" x14ac:dyDescent="0.3">
      <c r="B57" s="12"/>
      <c r="C57" s="13"/>
      <c r="D57" s="124" t="s">
        <v>9</v>
      </c>
      <c r="E57" s="125"/>
      <c r="F57" s="125"/>
      <c r="G57" s="126"/>
      <c r="H57" s="122"/>
      <c r="I57" s="123"/>
      <c r="J57" s="4"/>
    </row>
    <row r="58" spans="2:11" ht="14.4" customHeight="1" x14ac:dyDescent="0.3">
      <c r="B58" s="111" t="s">
        <v>10</v>
      </c>
      <c r="C58" s="113" t="s">
        <v>11</v>
      </c>
      <c r="D58" s="16" t="s">
        <v>12</v>
      </c>
      <c r="E58" s="16" t="s">
        <v>13</v>
      </c>
      <c r="F58" s="16" t="s">
        <v>14</v>
      </c>
      <c r="G58" s="16" t="s">
        <v>15</v>
      </c>
      <c r="H58" s="115" t="s">
        <v>16</v>
      </c>
      <c r="I58" s="113" t="s">
        <v>17</v>
      </c>
      <c r="J58" s="17"/>
    </row>
    <row r="59" spans="2:11" ht="37.65" customHeight="1" x14ac:dyDescent="0.3">
      <c r="B59" s="112"/>
      <c r="C59" s="114"/>
      <c r="D59" s="117" t="s">
        <v>20</v>
      </c>
      <c r="E59" s="118"/>
      <c r="F59" s="118"/>
      <c r="G59" s="119"/>
      <c r="H59" s="116"/>
      <c r="I59" s="114"/>
      <c r="J59" s="17"/>
    </row>
    <row r="60" spans="2:11" x14ac:dyDescent="0.3">
      <c r="B60" s="33">
        <v>4</v>
      </c>
      <c r="C60" s="43" t="s">
        <v>21</v>
      </c>
      <c r="D60" s="18">
        <v>72307.5</v>
      </c>
      <c r="E60" s="18">
        <v>0</v>
      </c>
      <c r="F60" s="36">
        <f>+D60+E60</f>
        <v>72307.5</v>
      </c>
      <c r="G60" s="18">
        <f>+F60</f>
        <v>72307.5</v>
      </c>
      <c r="H60" s="37">
        <f t="shared" ref="H60:H81" si="17">((G60-I60)/I60)*100</f>
        <v>236.07947943295375</v>
      </c>
      <c r="I60" s="18">
        <v>21515</v>
      </c>
      <c r="J60" s="19"/>
    </row>
    <row r="61" spans="2:11" x14ac:dyDescent="0.3">
      <c r="B61" s="33">
        <v>5</v>
      </c>
      <c r="C61" s="43" t="s">
        <v>22</v>
      </c>
      <c r="D61" s="23">
        <v>237441</v>
      </c>
      <c r="E61" s="23">
        <v>0</v>
      </c>
      <c r="F61" s="40">
        <f>+E61+D61</f>
        <v>237441</v>
      </c>
      <c r="G61" s="23">
        <f>+G60+F61</f>
        <v>309748.5</v>
      </c>
      <c r="H61" s="41">
        <f t="shared" si="17"/>
        <v>-3.3713350730216765</v>
      </c>
      <c r="I61" s="23">
        <f>+I60+299040.5</f>
        <v>320555.5</v>
      </c>
      <c r="J61" s="19"/>
    </row>
    <row r="62" spans="2:11" x14ac:dyDescent="0.3">
      <c r="B62" s="33">
        <v>6</v>
      </c>
      <c r="C62" s="43" t="s">
        <v>23</v>
      </c>
      <c r="D62" s="23">
        <v>744454.5</v>
      </c>
      <c r="E62" s="23">
        <v>0</v>
      </c>
      <c r="F62" s="40">
        <f>+E62+D62</f>
        <v>744454.5</v>
      </c>
      <c r="G62" s="23">
        <f t="shared" ref="G62" si="18">+G61+F62</f>
        <v>1054203</v>
      </c>
      <c r="H62" s="41">
        <f t="shared" si="17"/>
        <v>66.462718047065323</v>
      </c>
      <c r="I62" s="23">
        <f>+I61+312741.26</f>
        <v>633296.76</v>
      </c>
      <c r="J62" s="19"/>
    </row>
    <row r="63" spans="2:11" x14ac:dyDescent="0.3">
      <c r="B63" s="33">
        <v>7</v>
      </c>
      <c r="C63" s="43" t="s">
        <v>24</v>
      </c>
      <c r="D63" s="23">
        <v>214041</v>
      </c>
      <c r="E63" s="23">
        <v>340716</v>
      </c>
      <c r="F63" s="40">
        <f t="shared" ref="F63:F75" si="19">+E63+D63</f>
        <v>554757</v>
      </c>
      <c r="G63" s="23">
        <f>+G62+F63</f>
        <v>1608960</v>
      </c>
      <c r="H63" s="41">
        <f t="shared" si="17"/>
        <v>24.75572876226904</v>
      </c>
      <c r="I63" s="23">
        <f>+I62+656391.51</f>
        <v>1289688.27</v>
      </c>
      <c r="J63" s="19"/>
    </row>
    <row r="64" spans="2:11" x14ac:dyDescent="0.3">
      <c r="B64" s="33">
        <v>8</v>
      </c>
      <c r="C64" s="43" t="s">
        <v>25</v>
      </c>
      <c r="D64" s="23">
        <v>556868.52</v>
      </c>
      <c r="E64" s="23">
        <v>0</v>
      </c>
      <c r="F64" s="40">
        <f t="shared" si="19"/>
        <v>556868.52</v>
      </c>
      <c r="G64" s="23">
        <f t="shared" ref="G64:G75" si="20">+G63+F64</f>
        <v>2165828.52</v>
      </c>
      <c r="H64" s="41">
        <f t="shared" si="17"/>
        <v>29.777229216183482</v>
      </c>
      <c r="I64" s="23">
        <v>1668881.77</v>
      </c>
      <c r="J64" s="19"/>
    </row>
    <row r="65" spans="2:10" x14ac:dyDescent="0.3">
      <c r="B65" s="33">
        <v>9</v>
      </c>
      <c r="C65" s="31" t="s">
        <v>26</v>
      </c>
      <c r="D65" s="23">
        <v>500004.5</v>
      </c>
      <c r="E65" s="23">
        <v>0</v>
      </c>
      <c r="F65" s="40">
        <f t="shared" si="19"/>
        <v>500004.5</v>
      </c>
      <c r="G65" s="23">
        <f t="shared" si="20"/>
        <v>2665833.02</v>
      </c>
      <c r="H65" s="41">
        <f t="shared" si="17"/>
        <v>16.589784314282209</v>
      </c>
      <c r="I65" s="23">
        <f>+I64+617624.75</f>
        <v>2286506.52</v>
      </c>
      <c r="J65" s="19"/>
    </row>
    <row r="66" spans="2:10" x14ac:dyDescent="0.3">
      <c r="B66" s="33">
        <v>10</v>
      </c>
      <c r="C66" s="31" t="s">
        <v>55</v>
      </c>
      <c r="D66" s="23">
        <v>987340</v>
      </c>
      <c r="E66" s="23">
        <v>69047.100000000006</v>
      </c>
      <c r="F66" s="40">
        <f t="shared" si="19"/>
        <v>1056387.1000000001</v>
      </c>
      <c r="G66" s="23">
        <f t="shared" si="20"/>
        <v>3722220.12</v>
      </c>
      <c r="H66" s="41">
        <f t="shared" si="17"/>
        <v>22.200185540257785</v>
      </c>
      <c r="I66" s="23">
        <f>+I65+759495.5</f>
        <v>3046002.02</v>
      </c>
      <c r="J66" s="19"/>
    </row>
    <row r="67" spans="2:10" x14ac:dyDescent="0.3">
      <c r="B67" s="33">
        <v>11</v>
      </c>
      <c r="C67" s="31" t="s">
        <v>56</v>
      </c>
      <c r="D67" s="23">
        <v>683415.52</v>
      </c>
      <c r="E67" s="23">
        <v>0</v>
      </c>
      <c r="F67" s="40">
        <f t="shared" si="19"/>
        <v>683415.52</v>
      </c>
      <c r="G67" s="23">
        <f t="shared" si="20"/>
        <v>4405635.6400000006</v>
      </c>
      <c r="H67" s="41">
        <f t="shared" si="17"/>
        <v>18.808321294905745</v>
      </c>
      <c r="I67" s="23">
        <f>+I66+662185.75</f>
        <v>3708187.77</v>
      </c>
      <c r="J67" s="19"/>
    </row>
    <row r="68" spans="2:10" x14ac:dyDescent="0.3">
      <c r="B68" s="33">
        <v>12</v>
      </c>
      <c r="C68" s="31" t="s">
        <v>71</v>
      </c>
      <c r="D68" s="23">
        <v>613633.51</v>
      </c>
      <c r="E68" s="23">
        <v>0</v>
      </c>
      <c r="F68" s="40">
        <f t="shared" si="19"/>
        <v>613633.51</v>
      </c>
      <c r="G68" s="23">
        <f t="shared" si="20"/>
        <v>5019269.1500000004</v>
      </c>
      <c r="H68" s="41">
        <f t="shared" si="17"/>
        <v>24.612703123299951</v>
      </c>
      <c r="I68" s="23">
        <f>+I67+319707.48</f>
        <v>4027895.25</v>
      </c>
      <c r="J68" s="19"/>
    </row>
    <row r="69" spans="2:10" x14ac:dyDescent="0.3">
      <c r="B69" s="33">
        <v>13</v>
      </c>
      <c r="C69" s="31" t="s">
        <v>57</v>
      </c>
      <c r="D69" s="23">
        <v>97321.01</v>
      </c>
      <c r="E69" s="23">
        <v>0</v>
      </c>
      <c r="F69" s="40">
        <f t="shared" si="19"/>
        <v>97321.01</v>
      </c>
      <c r="G69" s="23">
        <f t="shared" si="20"/>
        <v>5116590.16</v>
      </c>
      <c r="H69" s="41">
        <f t="shared" si="17"/>
        <v>17.244540843558063</v>
      </c>
      <c r="I69" s="23">
        <v>4364032.75</v>
      </c>
      <c r="J69" s="19"/>
    </row>
    <row r="70" spans="2:10" x14ac:dyDescent="0.3">
      <c r="B70" s="33">
        <v>14</v>
      </c>
      <c r="C70" s="49" t="s">
        <v>58</v>
      </c>
      <c r="D70" s="23">
        <v>39692.019999999997</v>
      </c>
      <c r="E70" s="23">
        <v>25367.5</v>
      </c>
      <c r="F70" s="40">
        <f t="shared" si="19"/>
        <v>65059.519999999997</v>
      </c>
      <c r="G70" s="23">
        <f t="shared" si="20"/>
        <v>5181649.68</v>
      </c>
      <c r="H70" s="41">
        <f t="shared" si="17"/>
        <v>14.266175382982677</v>
      </c>
      <c r="I70" s="23">
        <f>+I69+170686</f>
        <v>4534718.75</v>
      </c>
      <c r="J70" s="19"/>
    </row>
    <row r="71" spans="2:10" x14ac:dyDescent="0.3">
      <c r="B71" s="33">
        <v>15</v>
      </c>
      <c r="C71" s="31" t="s">
        <v>59</v>
      </c>
      <c r="D71" s="23">
        <v>82042</v>
      </c>
      <c r="E71" s="23">
        <v>0</v>
      </c>
      <c r="F71" s="40">
        <f t="shared" si="19"/>
        <v>82042</v>
      </c>
      <c r="G71" s="23">
        <f t="shared" si="20"/>
        <v>5263691.68</v>
      </c>
      <c r="H71" s="41">
        <f t="shared" si="17"/>
        <v>13.675050746713788</v>
      </c>
      <c r="I71" s="23">
        <f>+I70+95753.5</f>
        <v>4630472.25</v>
      </c>
      <c r="J71" s="19"/>
    </row>
    <row r="72" spans="2:10" x14ac:dyDescent="0.3">
      <c r="B72" s="33">
        <v>16</v>
      </c>
      <c r="C72" s="31" t="s">
        <v>60</v>
      </c>
      <c r="D72" s="23">
        <v>23058</v>
      </c>
      <c r="E72" s="23">
        <v>0</v>
      </c>
      <c r="F72" s="40">
        <f t="shared" si="19"/>
        <v>23058</v>
      </c>
      <c r="G72" s="23">
        <f t="shared" si="20"/>
        <v>5286749.68</v>
      </c>
      <c r="H72" s="41">
        <f t="shared" si="17"/>
        <v>8.3996910657314636</v>
      </c>
      <c r="I72" s="23">
        <v>4877089.25</v>
      </c>
      <c r="J72" s="19"/>
    </row>
    <row r="73" spans="2:10" x14ac:dyDescent="0.3">
      <c r="B73" s="33">
        <v>17</v>
      </c>
      <c r="C73" s="31" t="s">
        <v>61</v>
      </c>
      <c r="D73" s="23">
        <v>14867</v>
      </c>
      <c r="E73" s="23">
        <v>0</v>
      </c>
      <c r="F73" s="40">
        <f t="shared" si="19"/>
        <v>14867</v>
      </c>
      <c r="G73" s="23">
        <f t="shared" si="20"/>
        <v>5301616.68</v>
      </c>
      <c r="H73" s="41">
        <f t="shared" si="17"/>
        <v>6.3230047465262853</v>
      </c>
      <c r="I73" s="23">
        <v>4986330.75</v>
      </c>
      <c r="J73" s="19"/>
    </row>
    <row r="74" spans="2:10" x14ac:dyDescent="0.3">
      <c r="B74" s="33">
        <v>18</v>
      </c>
      <c r="C74" s="31" t="s">
        <v>62</v>
      </c>
      <c r="D74" s="23">
        <v>0</v>
      </c>
      <c r="E74" s="23">
        <v>0</v>
      </c>
      <c r="F74" s="40">
        <f t="shared" si="19"/>
        <v>0</v>
      </c>
      <c r="G74" s="23">
        <f t="shared" si="20"/>
        <v>5301616.68</v>
      </c>
      <c r="H74" s="41">
        <f t="shared" si="17"/>
        <v>3.2572184122567833</v>
      </c>
      <c r="I74" s="23">
        <f>+I73+148048</f>
        <v>5134378.75</v>
      </c>
      <c r="J74" s="19"/>
    </row>
    <row r="75" spans="2:10" x14ac:dyDescent="0.3">
      <c r="B75" s="33">
        <v>19</v>
      </c>
      <c r="C75" s="31" t="s">
        <v>63</v>
      </c>
      <c r="D75" s="23">
        <v>2220</v>
      </c>
      <c r="E75" s="23">
        <v>0</v>
      </c>
      <c r="F75" s="40">
        <f t="shared" si="19"/>
        <v>2220</v>
      </c>
      <c r="G75" s="23">
        <f t="shared" si="20"/>
        <v>5303836.68</v>
      </c>
      <c r="H75" s="41">
        <f t="shared" si="17"/>
        <v>2.3332453357375127</v>
      </c>
      <c r="I75" s="23">
        <f>+I74+48528</f>
        <v>5182906.75</v>
      </c>
      <c r="J75" s="19"/>
    </row>
    <row r="76" spans="2:10" x14ac:dyDescent="0.3">
      <c r="B76" s="33">
        <v>20</v>
      </c>
      <c r="C76" s="31" t="s">
        <v>64</v>
      </c>
      <c r="D76" s="23">
        <v>11193</v>
      </c>
      <c r="E76" s="23">
        <v>0</v>
      </c>
      <c r="F76" s="40">
        <f t="shared" ref="F76:F82" si="21">+E76+D76</f>
        <v>11193</v>
      </c>
      <c r="G76" s="23">
        <f t="shared" ref="G76:G82" si="22">+G75+F76</f>
        <v>5315029.68</v>
      </c>
      <c r="H76" s="41">
        <f t="shared" si="17"/>
        <v>2.4215169158596463</v>
      </c>
      <c r="I76" s="23">
        <f>+I75+6461.5</f>
        <v>5189368.25</v>
      </c>
      <c r="J76" s="19"/>
    </row>
    <row r="77" spans="2:10" x14ac:dyDescent="0.3">
      <c r="B77" s="33">
        <v>21</v>
      </c>
      <c r="C77" s="31" t="s">
        <v>73</v>
      </c>
      <c r="D77" s="23">
        <v>6329</v>
      </c>
      <c r="E77" s="23">
        <v>0</v>
      </c>
      <c r="F77" s="40">
        <f t="shared" si="21"/>
        <v>6329</v>
      </c>
      <c r="G77" s="23">
        <f t="shared" si="22"/>
        <v>5321358.68</v>
      </c>
      <c r="H77" s="41">
        <f t="shared" si="17"/>
        <v>2.5372042998942606</v>
      </c>
      <c r="I77" s="23">
        <f>+I76+317.5</f>
        <v>5189685.75</v>
      </c>
      <c r="J77" s="19"/>
    </row>
    <row r="78" spans="2:10" x14ac:dyDescent="0.3">
      <c r="B78" s="33">
        <v>22</v>
      </c>
      <c r="C78" s="31" t="s">
        <v>66</v>
      </c>
      <c r="D78" s="23">
        <v>8110</v>
      </c>
      <c r="E78" s="23">
        <v>0</v>
      </c>
      <c r="F78" s="40">
        <f t="shared" si="21"/>
        <v>8110</v>
      </c>
      <c r="G78" s="23">
        <f t="shared" si="22"/>
        <v>5329468.68</v>
      </c>
      <c r="H78" s="41">
        <f t="shared" si="17"/>
        <v>2.6934758043875724</v>
      </c>
      <c r="I78" s="23">
        <f>+I77+0</f>
        <v>5189685.75</v>
      </c>
      <c r="J78" s="19"/>
    </row>
    <row r="79" spans="2:10" x14ac:dyDescent="0.3">
      <c r="B79" s="33">
        <v>23</v>
      </c>
      <c r="C79" s="31" t="s">
        <v>76</v>
      </c>
      <c r="D79" s="23">
        <v>12255.5</v>
      </c>
      <c r="E79" s="23">
        <v>0</v>
      </c>
      <c r="F79" s="40">
        <f t="shared" si="21"/>
        <v>12255.5</v>
      </c>
      <c r="G79" s="23">
        <f t="shared" si="22"/>
        <v>5341724.18</v>
      </c>
      <c r="H79" s="41">
        <f t="shared" si="17"/>
        <v>2.929626904673365</v>
      </c>
      <c r="I79" s="23">
        <f>+I78+0</f>
        <v>5189685.75</v>
      </c>
      <c r="J79" s="19"/>
    </row>
    <row r="80" spans="2:10" x14ac:dyDescent="0.3">
      <c r="B80" s="33">
        <v>24</v>
      </c>
      <c r="C80" s="31" t="s">
        <v>68</v>
      </c>
      <c r="D80" s="23">
        <v>860</v>
      </c>
      <c r="E80" s="23">
        <v>0</v>
      </c>
      <c r="F80" s="40">
        <f t="shared" si="21"/>
        <v>860</v>
      </c>
      <c r="G80" s="23">
        <f t="shared" si="22"/>
        <v>5342584.18</v>
      </c>
      <c r="H80" s="41">
        <f t="shared" si="17"/>
        <v>2.7831515102861539</v>
      </c>
      <c r="I80" s="23">
        <f>+I79+8232.49</f>
        <v>5197918.24</v>
      </c>
      <c r="J80" s="19"/>
    </row>
    <row r="81" spans="2:10" x14ac:dyDescent="0.3">
      <c r="B81" s="33">
        <v>25</v>
      </c>
      <c r="C81" s="67" t="s">
        <v>78</v>
      </c>
      <c r="D81" s="23">
        <v>0</v>
      </c>
      <c r="E81" s="23">
        <v>0</v>
      </c>
      <c r="F81" s="40">
        <f t="shared" si="21"/>
        <v>0</v>
      </c>
      <c r="G81" s="23">
        <f t="shared" si="22"/>
        <v>5342584.18</v>
      </c>
      <c r="H81" s="41">
        <f t="shared" si="17"/>
        <v>2.7831515102861539</v>
      </c>
      <c r="I81" s="23">
        <f>+I80+0</f>
        <v>5197918.24</v>
      </c>
      <c r="J81" s="19"/>
    </row>
    <row r="82" spans="2:10" x14ac:dyDescent="0.3">
      <c r="B82" s="97">
        <v>26</v>
      </c>
      <c r="C82" s="93" t="s">
        <v>70</v>
      </c>
      <c r="D82" s="94">
        <v>200.5</v>
      </c>
      <c r="E82" s="95">
        <v>0</v>
      </c>
      <c r="F82" s="96">
        <f t="shared" si="21"/>
        <v>200.5</v>
      </c>
      <c r="G82" s="95">
        <f t="shared" si="22"/>
        <v>5342784.68</v>
      </c>
      <c r="H82" s="41">
        <f t="shared" ref="H82" si="23">((G82-I82)/I82)*100</f>
        <v>2.7870088237478599</v>
      </c>
      <c r="I82" s="23">
        <f>+I81+0</f>
        <v>5197918.24</v>
      </c>
      <c r="J82" s="19"/>
    </row>
    <row r="83" spans="2:10" x14ac:dyDescent="0.3">
      <c r="B83" s="33">
        <v>27</v>
      </c>
      <c r="C83" s="93" t="s">
        <v>79</v>
      </c>
      <c r="D83" s="94">
        <v>0</v>
      </c>
      <c r="E83" s="95">
        <v>0</v>
      </c>
      <c r="F83" s="96">
        <f t="shared" ref="F83:F84" si="24">+E83+D83</f>
        <v>0</v>
      </c>
      <c r="G83" s="95">
        <f t="shared" ref="G83:G84" si="25">+G82+F83</f>
        <v>5342784.68</v>
      </c>
      <c r="H83" s="41">
        <f t="shared" ref="H83:H84" si="26">((G83-I83)/I83)*100</f>
        <v>2.7870088237478599</v>
      </c>
      <c r="I83" s="23">
        <f>+I82+0</f>
        <v>5197918.24</v>
      </c>
      <c r="J83" s="19"/>
    </row>
    <row r="84" spans="2:10" x14ac:dyDescent="0.3">
      <c r="B84" s="97">
        <v>28</v>
      </c>
      <c r="C84" s="93" t="s">
        <v>80</v>
      </c>
      <c r="D84" s="94">
        <v>0</v>
      </c>
      <c r="E84" s="95">
        <v>-2390</v>
      </c>
      <c r="F84" s="96">
        <f t="shared" si="24"/>
        <v>-2390</v>
      </c>
      <c r="G84" s="95">
        <f t="shared" si="25"/>
        <v>5340394.68</v>
      </c>
      <c r="H84" s="41">
        <f t="shared" si="26"/>
        <v>2.7410288777454777</v>
      </c>
      <c r="I84" s="23">
        <f>+I83+0</f>
        <v>5197918.24</v>
      </c>
      <c r="J84" s="19"/>
    </row>
    <row r="85" spans="2:10" x14ac:dyDescent="0.3">
      <c r="B85" s="33">
        <v>29</v>
      </c>
      <c r="C85" s="67" t="s">
        <v>81</v>
      </c>
      <c r="D85" s="94">
        <v>0</v>
      </c>
      <c r="E85" s="95">
        <v>0</v>
      </c>
      <c r="F85" s="96">
        <f t="shared" ref="F85:F89" si="27">+E85+D85</f>
        <v>0</v>
      </c>
      <c r="G85" s="95">
        <f t="shared" ref="G85:G88" si="28">+G84+F85</f>
        <v>5340394.68</v>
      </c>
      <c r="H85" s="41">
        <f t="shared" ref="H85:H91" si="29">((G85-I85)/I85)*100</f>
        <v>2.7410288777454777</v>
      </c>
      <c r="I85" s="23">
        <f t="shared" ref="I85:I91" si="30">+I84+0</f>
        <v>5197918.24</v>
      </c>
      <c r="J85" s="10"/>
    </row>
    <row r="86" spans="2:10" x14ac:dyDescent="0.3">
      <c r="B86" s="97">
        <v>30</v>
      </c>
      <c r="C86" s="67" t="s">
        <v>82</v>
      </c>
      <c r="D86" s="94">
        <v>0</v>
      </c>
      <c r="E86" s="95">
        <v>0</v>
      </c>
      <c r="F86" s="96">
        <f t="shared" si="27"/>
        <v>0</v>
      </c>
      <c r="G86" s="95">
        <f t="shared" si="28"/>
        <v>5340394.68</v>
      </c>
      <c r="H86" s="41">
        <f t="shared" si="29"/>
        <v>2.7410288777454777</v>
      </c>
      <c r="I86" s="23">
        <f t="shared" si="30"/>
        <v>5197918.24</v>
      </c>
      <c r="J86" s="10"/>
    </row>
    <row r="87" spans="2:10" x14ac:dyDescent="0.3">
      <c r="B87" s="33">
        <v>31</v>
      </c>
      <c r="C87" s="67" t="s">
        <v>83</v>
      </c>
      <c r="D87" s="94">
        <v>0</v>
      </c>
      <c r="E87" s="95">
        <v>0</v>
      </c>
      <c r="F87" s="96">
        <f t="shared" si="27"/>
        <v>0</v>
      </c>
      <c r="G87" s="95">
        <f t="shared" si="28"/>
        <v>5340394.68</v>
      </c>
      <c r="H87" s="41">
        <f t="shared" si="29"/>
        <v>2.7410288777454777</v>
      </c>
      <c r="I87" s="23">
        <f t="shared" si="30"/>
        <v>5197918.24</v>
      </c>
      <c r="J87" s="10"/>
    </row>
    <row r="88" spans="2:10" x14ac:dyDescent="0.3">
      <c r="B88" s="97">
        <v>32</v>
      </c>
      <c r="C88" s="67" t="s">
        <v>84</v>
      </c>
      <c r="D88" s="94">
        <v>0</v>
      </c>
      <c r="E88" s="95">
        <v>0</v>
      </c>
      <c r="F88" s="96">
        <f t="shared" si="27"/>
        <v>0</v>
      </c>
      <c r="G88" s="95">
        <f t="shared" si="28"/>
        <v>5340394.68</v>
      </c>
      <c r="H88" s="41">
        <f t="shared" si="29"/>
        <v>2.7410288777454777</v>
      </c>
      <c r="I88" s="23">
        <f t="shared" si="30"/>
        <v>5197918.24</v>
      </c>
      <c r="J88" s="10"/>
    </row>
    <row r="89" spans="2:10" x14ac:dyDescent="0.3">
      <c r="B89" s="97">
        <v>33</v>
      </c>
      <c r="C89" s="67" t="s">
        <v>85</v>
      </c>
      <c r="D89" s="94">
        <v>520.5</v>
      </c>
      <c r="E89" s="95">
        <v>0.5</v>
      </c>
      <c r="F89" s="96">
        <f t="shared" si="27"/>
        <v>521</v>
      </c>
      <c r="G89" s="95">
        <f>+G88+F89</f>
        <v>5340915.68</v>
      </c>
      <c r="H89" s="41">
        <f t="shared" si="29"/>
        <v>2.751052121204574</v>
      </c>
      <c r="I89" s="23">
        <f t="shared" si="30"/>
        <v>5197918.24</v>
      </c>
      <c r="J89" s="10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5340915.68</v>
      </c>
      <c r="H90" s="41">
        <f t="shared" si="29"/>
        <v>2.751052121204574</v>
      </c>
      <c r="I90" s="23">
        <f t="shared" si="30"/>
        <v>5197918.24</v>
      </c>
      <c r="J90" s="10"/>
    </row>
    <row r="91" spans="2:10" x14ac:dyDescent="0.3">
      <c r="B91" s="33">
        <v>35</v>
      </c>
      <c r="C91" s="67" t="s">
        <v>86</v>
      </c>
      <c r="D91" s="23">
        <v>0</v>
      </c>
      <c r="E91" s="23">
        <v>0</v>
      </c>
      <c r="F91" s="40">
        <f>+E91+D91</f>
        <v>0</v>
      </c>
      <c r="G91" s="40">
        <f>+G90+F91</f>
        <v>5340915.68</v>
      </c>
      <c r="H91" s="41">
        <f t="shared" si="29"/>
        <v>2.751052121204574</v>
      </c>
      <c r="I91" s="23">
        <f t="shared" si="30"/>
        <v>5197918.24</v>
      </c>
      <c r="J91" s="10"/>
    </row>
    <row r="92" spans="2:10" hidden="1" x14ac:dyDescent="0.3">
      <c r="B92" s="97">
        <v>36</v>
      </c>
      <c r="C92" s="67"/>
      <c r="D92" s="94"/>
      <c r="E92" s="95"/>
      <c r="F92" s="96"/>
      <c r="G92" s="96"/>
      <c r="H92" s="41"/>
      <c r="I92" s="23"/>
      <c r="J92" s="10"/>
    </row>
    <row r="93" spans="2:10" hidden="1" x14ac:dyDescent="0.3">
      <c r="B93" s="33">
        <v>37</v>
      </c>
      <c r="C93" s="67"/>
      <c r="D93" s="94"/>
      <c r="E93" s="95"/>
      <c r="F93" s="96"/>
      <c r="G93" s="96"/>
      <c r="H93" s="41"/>
      <c r="I93" s="23"/>
      <c r="J93" s="10"/>
    </row>
    <row r="94" spans="2:10" hidden="1" x14ac:dyDescent="0.3">
      <c r="B94" s="97">
        <v>38</v>
      </c>
      <c r="C94" s="67"/>
      <c r="D94" s="94"/>
      <c r="E94" s="95"/>
      <c r="F94" s="96"/>
      <c r="G94" s="96"/>
      <c r="H94" s="41"/>
      <c r="I94" s="23"/>
      <c r="J94" s="10"/>
    </row>
    <row r="95" spans="2:10" hidden="1" x14ac:dyDescent="0.3">
      <c r="B95" s="97">
        <v>39</v>
      </c>
      <c r="C95" s="67"/>
      <c r="D95" s="94"/>
      <c r="E95" s="95"/>
      <c r="F95" s="96"/>
      <c r="G95" s="96"/>
      <c r="H95" s="41"/>
      <c r="I95" s="23"/>
      <c r="J95" s="10"/>
    </row>
    <row r="96" spans="2:10" hidden="1" x14ac:dyDescent="0.3">
      <c r="B96" s="33">
        <v>40</v>
      </c>
      <c r="C96" s="67"/>
      <c r="D96" s="94"/>
      <c r="E96" s="95"/>
      <c r="F96" s="96"/>
      <c r="G96" s="96"/>
      <c r="H96" s="41"/>
      <c r="I96" s="23"/>
      <c r="J96" s="10"/>
    </row>
    <row r="97" spans="2:10" x14ac:dyDescent="0.3">
      <c r="B97" s="5"/>
      <c r="C97" s="5"/>
      <c r="D97" s="6"/>
      <c r="E97" s="6"/>
      <c r="F97" s="6"/>
      <c r="G97" s="6"/>
      <c r="H97" s="7"/>
      <c r="I97" s="6"/>
      <c r="J97" s="5"/>
    </row>
    <row r="98" spans="2:10" x14ac:dyDescent="0.3">
      <c r="B98" s="8" t="s">
        <v>27</v>
      </c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9" t="s">
        <v>28</v>
      </c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9" t="s">
        <v>29</v>
      </c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9" t="s">
        <v>30</v>
      </c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ht="18" x14ac:dyDescent="0.35">
      <c r="B104" s="10"/>
      <c r="C104" s="10"/>
      <c r="D104" s="133" t="s">
        <v>33</v>
      </c>
      <c r="E104" s="133"/>
      <c r="F104" s="133"/>
      <c r="G104" s="133"/>
      <c r="H104" s="133"/>
      <c r="I104" s="133"/>
      <c r="J104" s="10"/>
    </row>
    <row r="105" spans="2:10" s="28" customFormat="1" ht="15.6" x14ac:dyDescent="0.3">
      <c r="B105" s="24"/>
      <c r="C105" s="24"/>
      <c r="D105" s="134" t="s">
        <v>36</v>
      </c>
      <c r="E105" s="134"/>
      <c r="F105" s="134"/>
      <c r="G105" s="134"/>
      <c r="H105" s="134"/>
      <c r="I105" s="134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28" t="s">
        <v>6</v>
      </c>
      <c r="E107" s="129"/>
      <c r="F107" s="129"/>
      <c r="G107" s="130"/>
      <c r="H107" s="120" t="s">
        <v>7</v>
      </c>
      <c r="I107" s="121"/>
      <c r="J107" s="4"/>
    </row>
    <row r="108" spans="2:10" x14ac:dyDescent="0.3">
      <c r="B108" s="12"/>
      <c r="C108" s="13"/>
      <c r="D108" s="124" t="s">
        <v>9</v>
      </c>
      <c r="E108" s="125"/>
      <c r="F108" s="125"/>
      <c r="G108" s="126"/>
      <c r="H108" s="122"/>
      <c r="I108" s="123"/>
      <c r="J108" s="4"/>
    </row>
    <row r="109" spans="2:10" ht="14.4" customHeight="1" x14ac:dyDescent="0.3">
      <c r="B109" s="111" t="s">
        <v>10</v>
      </c>
      <c r="C109" s="113" t="s">
        <v>11</v>
      </c>
      <c r="D109" s="16" t="s">
        <v>12</v>
      </c>
      <c r="E109" s="16" t="s">
        <v>13</v>
      </c>
      <c r="F109" s="16" t="s">
        <v>14</v>
      </c>
      <c r="G109" s="16" t="s">
        <v>15</v>
      </c>
      <c r="H109" s="115" t="s">
        <v>16</v>
      </c>
      <c r="I109" s="113" t="s">
        <v>17</v>
      </c>
      <c r="J109" s="17"/>
    </row>
    <row r="110" spans="2:10" ht="39" customHeight="1" x14ac:dyDescent="0.3">
      <c r="B110" s="112"/>
      <c r="C110" s="114"/>
      <c r="D110" s="117" t="s">
        <v>20</v>
      </c>
      <c r="E110" s="118"/>
      <c r="F110" s="118"/>
      <c r="G110" s="119"/>
      <c r="H110" s="116"/>
      <c r="I110" s="114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e">
        <f t="shared" ref="H111:H126" si="31">((G111-I111)/I111)*100</f>
        <v>#DIV/0!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108465.11</v>
      </c>
      <c r="E112" s="23">
        <v>0</v>
      </c>
      <c r="F112" s="40">
        <f>+E112+D112</f>
        <v>108465.11</v>
      </c>
      <c r="G112" s="23">
        <f>+G111+F112</f>
        <v>108465.11</v>
      </c>
      <c r="H112" s="41">
        <f t="shared" si="31"/>
        <v>417.09049944603464</v>
      </c>
      <c r="I112" s="23">
        <v>20976.04</v>
      </c>
      <c r="J112" s="19"/>
    </row>
    <row r="113" spans="2:10" x14ac:dyDescent="0.3">
      <c r="B113" s="33">
        <v>6</v>
      </c>
      <c r="C113" s="31" t="s">
        <v>23</v>
      </c>
      <c r="D113" s="23">
        <v>47860.06</v>
      </c>
      <c r="E113" s="23">
        <v>0</v>
      </c>
      <c r="F113" s="40">
        <f>+E113+D113</f>
        <v>47860.06</v>
      </c>
      <c r="G113" s="23">
        <f t="shared" ref="G113" si="32">+G112+F113</f>
        <v>156325.16999999998</v>
      </c>
      <c r="H113" s="41">
        <f t="shared" si="31"/>
        <v>420.20735061421487</v>
      </c>
      <c r="I113" s="23">
        <f>+I112+9074.51</f>
        <v>30050.550000000003</v>
      </c>
      <c r="J113" s="19"/>
    </row>
    <row r="114" spans="2:10" x14ac:dyDescent="0.3">
      <c r="B114" s="33">
        <v>7</v>
      </c>
      <c r="C114" s="31" t="s">
        <v>24</v>
      </c>
      <c r="D114" s="23">
        <v>62863.09</v>
      </c>
      <c r="E114" s="23">
        <v>12264</v>
      </c>
      <c r="F114" s="40">
        <f t="shared" ref="F114:F126" si="33">+E114+D114</f>
        <v>75127.09</v>
      </c>
      <c r="G114" s="23">
        <f>+G113+F114</f>
        <v>231452.25999999998</v>
      </c>
      <c r="H114" s="41">
        <f t="shared" si="31"/>
        <v>438.93699702906446</v>
      </c>
      <c r="I114" s="23">
        <f>+I113+12895.52</f>
        <v>42946.070000000007</v>
      </c>
      <c r="J114" s="19"/>
    </row>
    <row r="115" spans="2:10" x14ac:dyDescent="0.3">
      <c r="B115" s="33">
        <v>8</v>
      </c>
      <c r="C115" s="31" t="s">
        <v>25</v>
      </c>
      <c r="D115" s="23">
        <v>59478.51</v>
      </c>
      <c r="E115" s="23">
        <v>0</v>
      </c>
      <c r="F115" s="40">
        <f t="shared" si="33"/>
        <v>59478.51</v>
      </c>
      <c r="G115" s="23">
        <f t="shared" ref="G115:G126" si="34">+G114+F115</f>
        <v>290930.76999999996</v>
      </c>
      <c r="H115" s="41">
        <f t="shared" si="31"/>
        <v>135.06026044249188</v>
      </c>
      <c r="I115" s="23">
        <v>123768.59</v>
      </c>
      <c r="J115" s="19"/>
    </row>
    <row r="116" spans="2:10" x14ac:dyDescent="0.3">
      <c r="B116" s="33">
        <v>9</v>
      </c>
      <c r="C116" s="31" t="s">
        <v>26</v>
      </c>
      <c r="D116" s="23">
        <v>163305.13</v>
      </c>
      <c r="E116" s="23">
        <v>0</v>
      </c>
      <c r="F116" s="40">
        <f t="shared" si="33"/>
        <v>163305.13</v>
      </c>
      <c r="G116" s="23">
        <f t="shared" si="34"/>
        <v>454235.89999999997</v>
      </c>
      <c r="H116" s="41">
        <f t="shared" si="31"/>
        <v>190.41064028567189</v>
      </c>
      <c r="I116" s="23">
        <f>+I115+32643</f>
        <v>156411.59</v>
      </c>
      <c r="J116" s="19"/>
    </row>
    <row r="117" spans="2:10" x14ac:dyDescent="0.3">
      <c r="B117" s="33">
        <v>10</v>
      </c>
      <c r="C117" s="31" t="s">
        <v>55</v>
      </c>
      <c r="D117" s="23">
        <v>83454.539999999994</v>
      </c>
      <c r="E117" s="23">
        <v>0</v>
      </c>
      <c r="F117" s="40">
        <f t="shared" si="33"/>
        <v>83454.539999999994</v>
      </c>
      <c r="G117" s="23">
        <f t="shared" si="34"/>
        <v>537690.43999999994</v>
      </c>
      <c r="H117" s="41">
        <f t="shared" si="31"/>
        <v>80.388154437013526</v>
      </c>
      <c r="I117" s="23">
        <f>+I116+141662.55</f>
        <v>298074.14</v>
      </c>
      <c r="J117" s="19"/>
    </row>
    <row r="118" spans="2:10" x14ac:dyDescent="0.3">
      <c r="B118" s="33">
        <v>11</v>
      </c>
      <c r="C118" s="31" t="s">
        <v>56</v>
      </c>
      <c r="D118" s="23">
        <v>276516.57</v>
      </c>
      <c r="E118" s="23">
        <v>0</v>
      </c>
      <c r="F118" s="40">
        <f t="shared" si="33"/>
        <v>276516.57</v>
      </c>
      <c r="G118" s="23">
        <f t="shared" si="34"/>
        <v>814207.01</v>
      </c>
      <c r="H118" s="41">
        <f t="shared" si="31"/>
        <v>118.28597387963515</v>
      </c>
      <c r="I118" s="23">
        <f>+I117+74926.01</f>
        <v>373000.15</v>
      </c>
      <c r="J118" s="19"/>
    </row>
    <row r="119" spans="2:10" x14ac:dyDescent="0.3">
      <c r="B119" s="33">
        <v>12</v>
      </c>
      <c r="C119" s="31" t="s">
        <v>71</v>
      </c>
      <c r="D119" s="23">
        <v>379700.13</v>
      </c>
      <c r="E119" s="23">
        <v>0</v>
      </c>
      <c r="F119" s="40">
        <f t="shared" si="33"/>
        <v>379700.13</v>
      </c>
      <c r="G119" s="23">
        <f t="shared" si="34"/>
        <v>1193907.1400000001</v>
      </c>
      <c r="H119" s="41">
        <f t="shared" si="31"/>
        <v>122.71388613055379</v>
      </c>
      <c r="I119" s="23">
        <f>+I118+163072.01</f>
        <v>536072.16</v>
      </c>
      <c r="J119" s="19"/>
    </row>
    <row r="120" spans="2:10" x14ac:dyDescent="0.3">
      <c r="B120" s="33">
        <v>13</v>
      </c>
      <c r="C120" s="31" t="s">
        <v>57</v>
      </c>
      <c r="D120" s="23">
        <v>341276.63</v>
      </c>
      <c r="E120" s="23">
        <v>0</v>
      </c>
      <c r="F120" s="40">
        <f t="shared" si="33"/>
        <v>341276.63</v>
      </c>
      <c r="G120" s="23">
        <f t="shared" si="34"/>
        <v>1535183.77</v>
      </c>
      <c r="H120" s="41">
        <f t="shared" si="31"/>
        <v>167.26531747902143</v>
      </c>
      <c r="I120" s="23">
        <v>574404.41</v>
      </c>
      <c r="J120" s="19"/>
    </row>
    <row r="121" spans="2:10" x14ac:dyDescent="0.3">
      <c r="B121" s="33">
        <v>14</v>
      </c>
      <c r="C121" s="49" t="s">
        <v>58</v>
      </c>
      <c r="D121" s="23">
        <v>56280.05</v>
      </c>
      <c r="E121" s="23">
        <v>0</v>
      </c>
      <c r="F121" s="40">
        <f t="shared" si="33"/>
        <v>56280.05</v>
      </c>
      <c r="G121" s="23">
        <f t="shared" si="34"/>
        <v>1591463.82</v>
      </c>
      <c r="H121" s="41">
        <f t="shared" si="31"/>
        <v>167.01879497676481</v>
      </c>
      <c r="I121" s="23">
        <f>+I120+21607.5</f>
        <v>596011.91</v>
      </c>
      <c r="J121" s="19"/>
    </row>
    <row r="122" spans="2:10" x14ac:dyDescent="0.3">
      <c r="B122" s="33">
        <v>15</v>
      </c>
      <c r="C122" s="31" t="s">
        <v>59</v>
      </c>
      <c r="D122" s="23">
        <v>219299.5</v>
      </c>
      <c r="E122" s="23">
        <v>0</v>
      </c>
      <c r="F122" s="40">
        <f t="shared" si="33"/>
        <v>219299.5</v>
      </c>
      <c r="G122" s="23">
        <f t="shared" si="34"/>
        <v>1810763.32</v>
      </c>
      <c r="H122" s="41">
        <f t="shared" si="31"/>
        <v>145.95379875920938</v>
      </c>
      <c r="I122" s="23">
        <f>+I121+140209.01</f>
        <v>736220.92</v>
      </c>
      <c r="J122" s="19"/>
    </row>
    <row r="123" spans="2:10" x14ac:dyDescent="0.3">
      <c r="B123" s="33">
        <v>16</v>
      </c>
      <c r="C123" s="31" t="s">
        <v>60</v>
      </c>
      <c r="D123" s="23">
        <v>308970.07</v>
      </c>
      <c r="E123" s="23">
        <v>0</v>
      </c>
      <c r="F123" s="40">
        <f t="shared" si="33"/>
        <v>308970.07</v>
      </c>
      <c r="G123" s="23">
        <f t="shared" si="34"/>
        <v>2119733.39</v>
      </c>
      <c r="H123" s="41">
        <f t="shared" si="31"/>
        <v>178.30206327985334</v>
      </c>
      <c r="I123" s="23">
        <v>761666.43</v>
      </c>
      <c r="J123" s="19"/>
    </row>
    <row r="124" spans="2:10" x14ac:dyDescent="0.3">
      <c r="B124" s="33">
        <v>17</v>
      </c>
      <c r="C124" s="31" t="s">
        <v>61</v>
      </c>
      <c r="D124" s="23">
        <v>156188.07999999999</v>
      </c>
      <c r="E124" s="23">
        <v>0</v>
      </c>
      <c r="F124" s="40">
        <f t="shared" si="33"/>
        <v>156188.07999999999</v>
      </c>
      <c r="G124" s="23">
        <f t="shared" si="34"/>
        <v>2275921.4700000002</v>
      </c>
      <c r="H124" s="41">
        <f t="shared" si="31"/>
        <v>141.12378217693896</v>
      </c>
      <c r="I124" s="23">
        <v>943880.96</v>
      </c>
      <c r="J124" s="19"/>
    </row>
    <row r="125" spans="2:10" x14ac:dyDescent="0.3">
      <c r="B125" s="33">
        <v>18</v>
      </c>
      <c r="C125" s="31" t="s">
        <v>62</v>
      </c>
      <c r="D125" s="23">
        <v>76257.02</v>
      </c>
      <c r="E125" s="23">
        <v>0</v>
      </c>
      <c r="F125" s="40">
        <f t="shared" si="33"/>
        <v>76257.02</v>
      </c>
      <c r="G125" s="23">
        <f t="shared" si="34"/>
        <v>2352178.4900000002</v>
      </c>
      <c r="H125" s="41">
        <f t="shared" si="31"/>
        <v>132.13636182899194</v>
      </c>
      <c r="I125" s="23">
        <f>+I124+69393.51</f>
        <v>1013274.47</v>
      </c>
      <c r="J125" s="19"/>
    </row>
    <row r="126" spans="2:10" x14ac:dyDescent="0.3">
      <c r="B126" s="33">
        <v>19</v>
      </c>
      <c r="C126" s="31" t="s">
        <v>63</v>
      </c>
      <c r="D126" s="23">
        <v>19293</v>
      </c>
      <c r="E126" s="23">
        <v>0</v>
      </c>
      <c r="F126" s="40">
        <f t="shared" si="33"/>
        <v>19293</v>
      </c>
      <c r="G126" s="23">
        <f t="shared" si="34"/>
        <v>2371471.4900000002</v>
      </c>
      <c r="H126" s="41">
        <f t="shared" si="31"/>
        <v>131.10851912592901</v>
      </c>
      <c r="I126" s="23">
        <f>+I125+12854.51</f>
        <v>1026128.98</v>
      </c>
      <c r="J126" s="19"/>
    </row>
    <row r="127" spans="2:10" x14ac:dyDescent="0.3">
      <c r="B127" s="33">
        <v>20</v>
      </c>
      <c r="C127" s="31" t="s">
        <v>64</v>
      </c>
      <c r="D127" s="23">
        <v>0</v>
      </c>
      <c r="E127" s="23">
        <v>0</v>
      </c>
      <c r="F127" s="40">
        <f t="shared" ref="F127:F133" si="35">+E127+D127</f>
        <v>0</v>
      </c>
      <c r="G127" s="23">
        <f t="shared" ref="G127:G133" si="36">+G126+F127</f>
        <v>2371471.4900000002</v>
      </c>
      <c r="H127" s="41">
        <f t="shared" ref="H127:H133" si="37">((G127-I127)/I127)*100</f>
        <v>128.88906500158899</v>
      </c>
      <c r="I127" s="23">
        <f>+I126+9950</f>
        <v>1036078.98</v>
      </c>
      <c r="J127" s="19"/>
    </row>
    <row r="128" spans="2:10" x14ac:dyDescent="0.3">
      <c r="B128" s="33">
        <v>21</v>
      </c>
      <c r="C128" s="31" t="s">
        <v>65</v>
      </c>
      <c r="D128" s="23">
        <v>971.5</v>
      </c>
      <c r="E128" s="23">
        <v>0</v>
      </c>
      <c r="F128" s="40">
        <f t="shared" si="35"/>
        <v>971.5</v>
      </c>
      <c r="G128" s="23">
        <f t="shared" si="36"/>
        <v>2372442.9900000002</v>
      </c>
      <c r="H128" s="41">
        <f t="shared" si="37"/>
        <v>128.78233148115322</v>
      </c>
      <c r="I128" s="23">
        <f>+I127+908</f>
        <v>1036986.98</v>
      </c>
      <c r="J128" s="19"/>
    </row>
    <row r="129" spans="2:10" x14ac:dyDescent="0.3">
      <c r="B129" s="33">
        <v>22</v>
      </c>
      <c r="C129" s="31" t="s">
        <v>66</v>
      </c>
      <c r="D129" s="23">
        <v>56592.5</v>
      </c>
      <c r="E129" s="23">
        <v>0</v>
      </c>
      <c r="F129" s="40">
        <f t="shared" si="35"/>
        <v>56592.5</v>
      </c>
      <c r="G129" s="23">
        <f t="shared" si="36"/>
        <v>2429035.4900000002</v>
      </c>
      <c r="H129" s="41">
        <f t="shared" si="37"/>
        <v>134.23972883439677</v>
      </c>
      <c r="I129" s="23">
        <f t="shared" ref="I129:I134" si="38">+I128+0</f>
        <v>1036986.98</v>
      </c>
      <c r="J129" s="19"/>
    </row>
    <row r="130" spans="2:10" x14ac:dyDescent="0.3">
      <c r="B130" s="33">
        <v>23</v>
      </c>
      <c r="C130" s="31" t="s">
        <v>76</v>
      </c>
      <c r="D130" s="23">
        <v>0</v>
      </c>
      <c r="E130" s="23">
        <v>0</v>
      </c>
      <c r="F130" s="40">
        <f t="shared" si="35"/>
        <v>0</v>
      </c>
      <c r="G130" s="23">
        <f t="shared" si="36"/>
        <v>2429035.4900000002</v>
      </c>
      <c r="H130" s="41">
        <f t="shared" si="37"/>
        <v>134.23972883439677</v>
      </c>
      <c r="I130" s="23">
        <f t="shared" si="38"/>
        <v>1036986.98</v>
      </c>
      <c r="J130" s="19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35"/>
        <v>0</v>
      </c>
      <c r="G131" s="23">
        <f t="shared" si="36"/>
        <v>2429035.4900000002</v>
      </c>
      <c r="H131" s="41">
        <f t="shared" si="37"/>
        <v>134.23972883439677</v>
      </c>
      <c r="I131" s="23">
        <f t="shared" si="38"/>
        <v>1036986.98</v>
      </c>
      <c r="J131" s="19"/>
    </row>
    <row r="132" spans="2:10" x14ac:dyDescent="0.3">
      <c r="B132" s="33">
        <v>25</v>
      </c>
      <c r="C132" s="67" t="s">
        <v>78</v>
      </c>
      <c r="D132" s="23">
        <v>0</v>
      </c>
      <c r="E132" s="23">
        <v>0</v>
      </c>
      <c r="F132" s="40">
        <f t="shared" si="35"/>
        <v>0</v>
      </c>
      <c r="G132" s="23">
        <f t="shared" si="36"/>
        <v>2429035.4900000002</v>
      </c>
      <c r="H132" s="41">
        <f t="shared" si="37"/>
        <v>134.23972883439677</v>
      </c>
      <c r="I132" s="23">
        <f t="shared" si="38"/>
        <v>1036986.98</v>
      </c>
      <c r="J132" s="19"/>
    </row>
    <row r="133" spans="2:10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35"/>
        <v>0</v>
      </c>
      <c r="G133" s="95">
        <f t="shared" si="36"/>
        <v>2429035.4900000002</v>
      </c>
      <c r="H133" s="41">
        <f t="shared" si="37"/>
        <v>134.23972883439677</v>
      </c>
      <c r="I133" s="23">
        <f t="shared" si="38"/>
        <v>1036986.98</v>
      </c>
      <c r="J133" s="19"/>
    </row>
    <row r="134" spans="2:10" x14ac:dyDescent="0.3">
      <c r="B134" s="97">
        <v>27</v>
      </c>
      <c r="C134" s="67" t="s">
        <v>79</v>
      </c>
      <c r="D134" s="102">
        <v>0</v>
      </c>
      <c r="E134" s="103">
        <v>0</v>
      </c>
      <c r="F134" s="104">
        <f t="shared" ref="F134:F135" si="39">+E134+D134</f>
        <v>0</v>
      </c>
      <c r="G134" s="103">
        <f>+G133+F134</f>
        <v>2429035.4900000002</v>
      </c>
      <c r="H134" s="41">
        <f t="shared" ref="H134:H135" si="40">((G134-I134)/I134)*100</f>
        <v>134.23972883439677</v>
      </c>
      <c r="I134" s="23">
        <f t="shared" si="38"/>
        <v>1036986.98</v>
      </c>
      <c r="J134" s="19"/>
    </row>
    <row r="135" spans="2:10" x14ac:dyDescent="0.3">
      <c r="B135" s="97">
        <v>28</v>
      </c>
      <c r="C135" s="67" t="s">
        <v>80</v>
      </c>
      <c r="D135" s="23">
        <v>0</v>
      </c>
      <c r="E135" s="23">
        <v>6779</v>
      </c>
      <c r="F135" s="40">
        <f t="shared" si="39"/>
        <v>6779</v>
      </c>
      <c r="G135" s="23">
        <f t="shared" ref="G135" si="41">+G134+F135</f>
        <v>2435814.4900000002</v>
      </c>
      <c r="H135" s="41">
        <f t="shared" si="40"/>
        <v>134.89344967474906</v>
      </c>
      <c r="I135" s="23">
        <f>+I134+0</f>
        <v>1036986.98</v>
      </c>
      <c r="J135" s="19"/>
    </row>
    <row r="136" spans="2:10" x14ac:dyDescent="0.3">
      <c r="B136" s="97">
        <v>29</v>
      </c>
      <c r="C136" s="67" t="s">
        <v>81</v>
      </c>
      <c r="D136" s="23">
        <v>0</v>
      </c>
      <c r="E136" s="23">
        <v>0</v>
      </c>
      <c r="F136" s="40">
        <f t="shared" ref="F136:F140" si="42">+E136+D136</f>
        <v>0</v>
      </c>
      <c r="G136" s="23">
        <f t="shared" ref="G136:G139" si="43">+G135+F136</f>
        <v>2435814.4900000002</v>
      </c>
      <c r="H136" s="41">
        <f t="shared" ref="H136:H142" si="44">((G136-I136)/I136)*100</f>
        <v>134.89344967474906</v>
      </c>
      <c r="I136" s="23">
        <f t="shared" ref="I136:I142" si="45">+I135+0</f>
        <v>1036986.98</v>
      </c>
      <c r="J136" s="10"/>
    </row>
    <row r="137" spans="2:10" x14ac:dyDescent="0.3">
      <c r="B137" s="97">
        <v>30</v>
      </c>
      <c r="C137" s="67" t="s">
        <v>82</v>
      </c>
      <c r="D137" s="23">
        <v>0</v>
      </c>
      <c r="E137" s="23">
        <v>0</v>
      </c>
      <c r="F137" s="40">
        <f t="shared" si="42"/>
        <v>0</v>
      </c>
      <c r="G137" s="23">
        <f t="shared" si="43"/>
        <v>2435814.4900000002</v>
      </c>
      <c r="H137" s="41">
        <f t="shared" si="44"/>
        <v>134.89344967474906</v>
      </c>
      <c r="I137" s="23">
        <f t="shared" si="45"/>
        <v>1036986.98</v>
      </c>
      <c r="J137" s="10"/>
    </row>
    <row r="138" spans="2:10" x14ac:dyDescent="0.3">
      <c r="B138" s="97">
        <v>31</v>
      </c>
      <c r="C138" s="67" t="s">
        <v>83</v>
      </c>
      <c r="D138" s="23">
        <v>0</v>
      </c>
      <c r="E138" s="23">
        <v>0</v>
      </c>
      <c r="F138" s="40">
        <f t="shared" si="42"/>
        <v>0</v>
      </c>
      <c r="G138" s="23">
        <f t="shared" si="43"/>
        <v>2435814.4900000002</v>
      </c>
      <c r="H138" s="41">
        <f t="shared" si="44"/>
        <v>134.89344967474906</v>
      </c>
      <c r="I138" s="23">
        <f t="shared" si="45"/>
        <v>1036986.98</v>
      </c>
      <c r="J138" s="10"/>
    </row>
    <row r="139" spans="2:10" x14ac:dyDescent="0.3">
      <c r="B139" s="97">
        <v>32</v>
      </c>
      <c r="C139" s="67" t="s">
        <v>84</v>
      </c>
      <c r="D139" s="23">
        <v>0</v>
      </c>
      <c r="E139" s="23">
        <v>0</v>
      </c>
      <c r="F139" s="40">
        <f t="shared" si="42"/>
        <v>0</v>
      </c>
      <c r="G139" s="23">
        <f t="shared" si="43"/>
        <v>2435814.4900000002</v>
      </c>
      <c r="H139" s="41">
        <f t="shared" si="44"/>
        <v>134.89344967474906</v>
      </c>
      <c r="I139" s="23">
        <f t="shared" si="45"/>
        <v>1036986.98</v>
      </c>
      <c r="J139" s="10"/>
    </row>
    <row r="140" spans="2:10" x14ac:dyDescent="0.3">
      <c r="B140" s="97">
        <v>33</v>
      </c>
      <c r="C140" s="67" t="s">
        <v>85</v>
      </c>
      <c r="D140" s="94">
        <v>0</v>
      </c>
      <c r="E140" s="95">
        <v>0</v>
      </c>
      <c r="F140" s="96">
        <f t="shared" si="42"/>
        <v>0</v>
      </c>
      <c r="G140" s="95">
        <f>+G139+F140</f>
        <v>2435814.4900000002</v>
      </c>
      <c r="H140" s="41">
        <f t="shared" si="44"/>
        <v>134.89344967474906</v>
      </c>
      <c r="I140" s="23">
        <f t="shared" si="45"/>
        <v>1036986.98</v>
      </c>
      <c r="J140" s="10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2435814.4900000002</v>
      </c>
      <c r="H141" s="41">
        <f t="shared" si="44"/>
        <v>134.89344967474906</v>
      </c>
      <c r="I141" s="23">
        <f t="shared" si="45"/>
        <v>1036986.98</v>
      </c>
      <c r="J141" s="10"/>
    </row>
    <row r="142" spans="2:10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2435814.4900000002</v>
      </c>
      <c r="H142" s="41">
        <f t="shared" si="44"/>
        <v>134.89344967474906</v>
      </c>
      <c r="I142" s="23">
        <f t="shared" si="45"/>
        <v>1036986.98</v>
      </c>
      <c r="J142" s="10"/>
    </row>
    <row r="143" spans="2:10" hidden="1" x14ac:dyDescent="0.3">
      <c r="B143" s="97">
        <v>36</v>
      </c>
      <c r="C143" s="67"/>
      <c r="D143" s="23"/>
      <c r="E143" s="23"/>
      <c r="F143" s="40"/>
      <c r="G143" s="40"/>
      <c r="H143" s="41"/>
      <c r="I143" s="23"/>
      <c r="J143" s="10"/>
    </row>
    <row r="144" spans="2:10" hidden="1" x14ac:dyDescent="0.3">
      <c r="B144" s="97">
        <v>37</v>
      </c>
      <c r="C144" s="67"/>
      <c r="D144" s="23"/>
      <c r="E144" s="23"/>
      <c r="F144" s="40"/>
      <c r="G144" s="40"/>
      <c r="H144" s="41"/>
      <c r="I144" s="23"/>
      <c r="J144" s="10"/>
    </row>
    <row r="145" spans="2:10" hidden="1" x14ac:dyDescent="0.3">
      <c r="B145" s="97">
        <v>38</v>
      </c>
      <c r="C145" s="67"/>
      <c r="D145" s="23"/>
      <c r="E145" s="23"/>
      <c r="F145" s="40"/>
      <c r="G145" s="40"/>
      <c r="H145" s="41"/>
      <c r="I145" s="23"/>
      <c r="J145" s="10"/>
    </row>
    <row r="146" spans="2:10" hidden="1" x14ac:dyDescent="0.3">
      <c r="B146" s="97">
        <v>39</v>
      </c>
      <c r="C146" s="67"/>
      <c r="D146" s="23"/>
      <c r="E146" s="23"/>
      <c r="F146" s="40"/>
      <c r="G146" s="40"/>
      <c r="H146" s="41"/>
      <c r="I146" s="23"/>
      <c r="J146" s="10"/>
    </row>
    <row r="147" spans="2:10" hidden="1" x14ac:dyDescent="0.3">
      <c r="B147" s="97">
        <v>40</v>
      </c>
      <c r="C147" s="67"/>
      <c r="D147" s="23"/>
      <c r="E147" s="23"/>
      <c r="F147" s="40"/>
      <c r="G147" s="40"/>
      <c r="H147" s="41"/>
      <c r="I147" s="23"/>
      <c r="J147" s="10"/>
    </row>
    <row r="148" spans="2:10" x14ac:dyDescent="0.3">
      <c r="B148" s="5"/>
      <c r="C148" s="5"/>
      <c r="D148" s="6"/>
      <c r="E148" s="6"/>
      <c r="F148" s="6"/>
      <c r="G148" s="6"/>
      <c r="H148" s="7"/>
      <c r="I148" s="6"/>
      <c r="J148" s="5"/>
    </row>
    <row r="149" spans="2:10" x14ac:dyDescent="0.3">
      <c r="B149" s="8" t="s">
        <v>27</v>
      </c>
      <c r="C149" s="5"/>
      <c r="D149" s="5"/>
      <c r="E149" s="5"/>
      <c r="F149" s="5"/>
      <c r="G149" s="5"/>
      <c r="H149" s="5"/>
      <c r="I149" s="5"/>
      <c r="J149" s="5"/>
    </row>
    <row r="150" spans="2:10" x14ac:dyDescent="0.3">
      <c r="B150" s="9" t="s">
        <v>28</v>
      </c>
      <c r="C150" s="5"/>
      <c r="D150" s="5"/>
      <c r="E150" s="5"/>
      <c r="F150" s="5"/>
      <c r="G150" s="5"/>
      <c r="H150" s="5"/>
      <c r="I150" s="5"/>
      <c r="J150" s="5"/>
    </row>
    <row r="151" spans="2:10" x14ac:dyDescent="0.3">
      <c r="B151" s="9" t="s">
        <v>29</v>
      </c>
      <c r="C151" s="5"/>
      <c r="D151" s="5"/>
      <c r="E151" s="5"/>
      <c r="F151" s="5"/>
      <c r="G151" s="5"/>
      <c r="H151" s="5"/>
      <c r="I151" s="5"/>
      <c r="J151" s="5"/>
    </row>
    <row r="152" spans="2:10" x14ac:dyDescent="0.3">
      <c r="B152" s="9" t="s">
        <v>30</v>
      </c>
      <c r="C152" s="5"/>
      <c r="D152" s="5"/>
      <c r="E152" s="5"/>
      <c r="F152" s="5"/>
      <c r="G152" s="5"/>
      <c r="H152" s="5"/>
      <c r="I152" s="5"/>
      <c r="J152" s="5"/>
    </row>
    <row r="155" spans="2:10" ht="18" x14ac:dyDescent="0.35">
      <c r="B155" s="10"/>
      <c r="C155" s="10"/>
      <c r="D155" s="127" t="s">
        <v>34</v>
      </c>
      <c r="E155" s="127"/>
      <c r="F155" s="127"/>
      <c r="G155" s="127"/>
      <c r="H155" s="127"/>
      <c r="I155" s="127"/>
      <c r="J155" s="10"/>
    </row>
    <row r="156" spans="2:10" s="28" customFormat="1" ht="15.6" x14ac:dyDescent="0.3">
      <c r="B156" s="24"/>
      <c r="C156" s="24"/>
      <c r="D156" s="131" t="s">
        <v>36</v>
      </c>
      <c r="E156" s="131"/>
      <c r="F156" s="131"/>
      <c r="G156" s="131"/>
      <c r="H156" s="131"/>
      <c r="I156" s="131"/>
      <c r="J156" s="24"/>
    </row>
    <row r="157" spans="2:10" ht="15.9" customHeight="1" x14ac:dyDescent="0.3">
      <c r="B157" s="132" t="s">
        <v>89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28" t="s">
        <v>6</v>
      </c>
      <c r="E158" s="129"/>
      <c r="F158" s="129"/>
      <c r="G158" s="130"/>
      <c r="H158" s="120" t="s">
        <v>7</v>
      </c>
      <c r="I158" s="121"/>
      <c r="J158" s="4"/>
    </row>
    <row r="159" spans="2:10" x14ac:dyDescent="0.3">
      <c r="B159" s="12"/>
      <c r="C159" s="13"/>
      <c r="D159" s="124" t="s">
        <v>9</v>
      </c>
      <c r="E159" s="125"/>
      <c r="F159" s="125"/>
      <c r="G159" s="126"/>
      <c r="H159" s="122"/>
      <c r="I159" s="123"/>
      <c r="J159" s="4"/>
    </row>
    <row r="160" spans="2:10" ht="14.4" customHeight="1" x14ac:dyDescent="0.3">
      <c r="B160" s="111" t="s">
        <v>10</v>
      </c>
      <c r="C160" s="113" t="s">
        <v>11</v>
      </c>
      <c r="D160" s="16" t="s">
        <v>12</v>
      </c>
      <c r="E160" s="16" t="s">
        <v>13</v>
      </c>
      <c r="F160" s="16" t="s">
        <v>14</v>
      </c>
      <c r="G160" s="16" t="s">
        <v>15</v>
      </c>
      <c r="H160" s="115" t="s">
        <v>16</v>
      </c>
      <c r="I160" s="113" t="s">
        <v>17</v>
      </c>
      <c r="J160" s="17"/>
    </row>
    <row r="161" spans="2:10" ht="39" customHeight="1" x14ac:dyDescent="0.3">
      <c r="B161" s="112"/>
      <c r="C161" s="114"/>
      <c r="D161" s="117" t="s">
        <v>20</v>
      </c>
      <c r="E161" s="118"/>
      <c r="F161" s="118"/>
      <c r="G161" s="119"/>
      <c r="H161" s="116"/>
      <c r="I161" s="114"/>
      <c r="J161" s="17"/>
    </row>
    <row r="162" spans="2:10" x14ac:dyDescent="0.3">
      <c r="B162" s="33">
        <v>4</v>
      </c>
      <c r="C162" s="31" t="s">
        <v>21</v>
      </c>
      <c r="D162" s="18">
        <v>60654</v>
      </c>
      <c r="E162" s="18">
        <v>0</v>
      </c>
      <c r="F162" s="36">
        <f>+D162+E162</f>
        <v>60654</v>
      </c>
      <c r="G162" s="18">
        <f>+F162</f>
        <v>60654</v>
      </c>
      <c r="H162" s="37" t="e">
        <f t="shared" ref="H162:H186" si="46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66559.11</v>
      </c>
      <c r="E163" s="23">
        <v>0</v>
      </c>
      <c r="F163" s="40">
        <f>+E163+D163</f>
        <v>66559.11</v>
      </c>
      <c r="G163" s="23">
        <f>+G162+F163</f>
        <v>127213.11</v>
      </c>
      <c r="H163" s="41">
        <f t="shared" si="46"/>
        <v>16.622022697697268</v>
      </c>
      <c r="I163" s="23">
        <v>109081.55</v>
      </c>
      <c r="J163" s="19"/>
    </row>
    <row r="164" spans="2:10" x14ac:dyDescent="0.3">
      <c r="B164" s="33">
        <v>6</v>
      </c>
      <c r="C164" s="31" t="s">
        <v>23</v>
      </c>
      <c r="D164" s="23">
        <v>46007.58</v>
      </c>
      <c r="E164" s="23">
        <v>0</v>
      </c>
      <c r="F164" s="40">
        <f>+E164+D164</f>
        <v>46007.58</v>
      </c>
      <c r="G164" s="23">
        <f t="shared" ref="G164" si="47">+G163+F164</f>
        <v>173220.69</v>
      </c>
      <c r="H164" s="41">
        <f t="shared" si="46"/>
        <v>27.980692591334925</v>
      </c>
      <c r="I164" s="23">
        <f>+I163+26267.53</f>
        <v>135349.08000000002</v>
      </c>
      <c r="J164" s="19"/>
    </row>
    <row r="165" spans="2:10" x14ac:dyDescent="0.3">
      <c r="B165" s="33">
        <v>7</v>
      </c>
      <c r="C165" s="31" t="s">
        <v>24</v>
      </c>
      <c r="D165" s="23">
        <v>45522.05</v>
      </c>
      <c r="E165" s="23">
        <v>0</v>
      </c>
      <c r="F165" s="40">
        <f t="shared" ref="F165:F177" si="48">+E165+D165</f>
        <v>45522.05</v>
      </c>
      <c r="G165" s="23">
        <f>+G164+F165</f>
        <v>218742.74</v>
      </c>
      <c r="H165" s="41">
        <f t="shared" si="46"/>
        <v>54.965705216896112</v>
      </c>
      <c r="I165" s="23">
        <f>+I164+5806.5</f>
        <v>141155.58000000002</v>
      </c>
      <c r="J165" s="19"/>
    </row>
    <row r="166" spans="2:10" x14ac:dyDescent="0.3">
      <c r="B166" s="33">
        <v>8</v>
      </c>
      <c r="C166" s="31" t="s">
        <v>25</v>
      </c>
      <c r="D166" s="23">
        <v>156828.70000000001</v>
      </c>
      <c r="E166" s="23">
        <v>0</v>
      </c>
      <c r="F166" s="40">
        <f t="shared" si="48"/>
        <v>156828.70000000001</v>
      </c>
      <c r="G166" s="23">
        <f t="shared" ref="G166:G177" si="49">+G165+F166</f>
        <v>375571.44</v>
      </c>
      <c r="H166" s="41">
        <f t="shared" si="46"/>
        <v>165.41198379591745</v>
      </c>
      <c r="I166" s="23">
        <v>141505.07999999999</v>
      </c>
      <c r="J166" s="19"/>
    </row>
    <row r="167" spans="2:10" x14ac:dyDescent="0.3">
      <c r="B167" s="33">
        <v>9</v>
      </c>
      <c r="C167" s="31" t="s">
        <v>26</v>
      </c>
      <c r="D167" s="23">
        <v>65850.63</v>
      </c>
      <c r="E167" s="23">
        <v>0</v>
      </c>
      <c r="F167" s="40">
        <f t="shared" si="48"/>
        <v>65850.63</v>
      </c>
      <c r="G167" s="23">
        <f t="shared" si="49"/>
        <v>441422.07</v>
      </c>
      <c r="H167" s="41">
        <f t="shared" si="46"/>
        <v>177.90432963874622</v>
      </c>
      <c r="I167" s="23">
        <f>+I166+17334.5</f>
        <v>158839.57999999999</v>
      </c>
      <c r="J167" s="19"/>
    </row>
    <row r="168" spans="2:10" x14ac:dyDescent="0.3">
      <c r="B168" s="33">
        <v>10</v>
      </c>
      <c r="C168" s="31" t="s">
        <v>55</v>
      </c>
      <c r="D168" s="23">
        <v>22649.07</v>
      </c>
      <c r="E168" s="23">
        <v>0</v>
      </c>
      <c r="F168" s="40">
        <f t="shared" si="48"/>
        <v>22649.07</v>
      </c>
      <c r="G168" s="23">
        <f t="shared" si="49"/>
        <v>464071.14</v>
      </c>
      <c r="H168" s="41">
        <f t="shared" si="46"/>
        <v>181.45296986828569</v>
      </c>
      <c r="I168" s="23">
        <f>+I167+6044.5</f>
        <v>164884.07999999999</v>
      </c>
      <c r="J168" s="19"/>
    </row>
    <row r="169" spans="2:10" x14ac:dyDescent="0.3">
      <c r="B169" s="33">
        <v>11</v>
      </c>
      <c r="C169" s="31" t="s">
        <v>56</v>
      </c>
      <c r="D169" s="23">
        <v>79494.600000000006</v>
      </c>
      <c r="E169" s="23">
        <v>0</v>
      </c>
      <c r="F169" s="40">
        <f t="shared" si="48"/>
        <v>79494.600000000006</v>
      </c>
      <c r="G169" s="23">
        <f t="shared" si="49"/>
        <v>543565.74</v>
      </c>
      <c r="H169" s="41">
        <f t="shared" si="46"/>
        <v>186.32293563348651</v>
      </c>
      <c r="I169" s="23">
        <f>+I168+24959.51</f>
        <v>189843.59</v>
      </c>
      <c r="J169" s="19"/>
    </row>
    <row r="170" spans="2:10" x14ac:dyDescent="0.3">
      <c r="B170" s="33">
        <v>12</v>
      </c>
      <c r="C170" s="31" t="s">
        <v>71</v>
      </c>
      <c r="D170" s="23">
        <v>32327.05</v>
      </c>
      <c r="E170" s="23">
        <v>0</v>
      </c>
      <c r="F170" s="40">
        <f t="shared" si="48"/>
        <v>32327.05</v>
      </c>
      <c r="G170" s="23">
        <f t="shared" si="49"/>
        <v>575892.79</v>
      </c>
      <c r="H170" s="41">
        <f t="shared" si="46"/>
        <v>148.63247834465599</v>
      </c>
      <c r="I170" s="23">
        <f>+I169+41780.53</f>
        <v>231624.12</v>
      </c>
      <c r="J170" s="19"/>
    </row>
    <row r="171" spans="2:10" x14ac:dyDescent="0.3">
      <c r="B171" s="33">
        <v>13</v>
      </c>
      <c r="C171" s="31" t="s">
        <v>57</v>
      </c>
      <c r="D171" s="23">
        <v>39019.519999999997</v>
      </c>
      <c r="E171" s="23">
        <v>0</v>
      </c>
      <c r="F171" s="40">
        <f t="shared" si="48"/>
        <v>39019.519999999997</v>
      </c>
      <c r="G171" s="23">
        <f t="shared" si="49"/>
        <v>614912.31000000006</v>
      </c>
      <c r="H171" s="41">
        <f t="shared" si="46"/>
        <v>165.47853047428742</v>
      </c>
      <c r="I171" s="23">
        <v>231624.12</v>
      </c>
      <c r="J171" s="19"/>
    </row>
    <row r="172" spans="2:10" x14ac:dyDescent="0.3">
      <c r="B172" s="33">
        <v>14</v>
      </c>
      <c r="C172" s="49" t="s">
        <v>58</v>
      </c>
      <c r="D172" s="23">
        <v>51537.03</v>
      </c>
      <c r="E172" s="23">
        <v>0</v>
      </c>
      <c r="F172" s="40">
        <f t="shared" si="48"/>
        <v>51537.03</v>
      </c>
      <c r="G172" s="23">
        <f t="shared" si="49"/>
        <v>666449.34000000008</v>
      </c>
      <c r="H172" s="41">
        <f t="shared" si="46"/>
        <v>187.72881684342724</v>
      </c>
      <c r="I172" s="23">
        <f>+I171+0</f>
        <v>231624.12</v>
      </c>
      <c r="J172" s="19"/>
    </row>
    <row r="173" spans="2:10" x14ac:dyDescent="0.3">
      <c r="B173" s="33">
        <v>15</v>
      </c>
      <c r="C173" s="31" t="s">
        <v>59</v>
      </c>
      <c r="D173" s="23">
        <v>24077</v>
      </c>
      <c r="E173" s="23">
        <v>0</v>
      </c>
      <c r="F173" s="40">
        <f t="shared" si="48"/>
        <v>24077</v>
      </c>
      <c r="G173" s="23">
        <f t="shared" si="49"/>
        <v>690526.34000000008</v>
      </c>
      <c r="H173" s="41">
        <f t="shared" si="46"/>
        <v>198.12367554812516</v>
      </c>
      <c r="I173" s="23">
        <f>+I172+0</f>
        <v>231624.12</v>
      </c>
      <c r="J173" s="19"/>
    </row>
    <row r="174" spans="2:10" x14ac:dyDescent="0.3">
      <c r="B174" s="33">
        <v>16</v>
      </c>
      <c r="C174" s="31" t="s">
        <v>60</v>
      </c>
      <c r="D174" s="23">
        <v>16279</v>
      </c>
      <c r="E174" s="23">
        <v>0</v>
      </c>
      <c r="F174" s="40">
        <f t="shared" si="48"/>
        <v>16279</v>
      </c>
      <c r="G174" s="23">
        <f t="shared" si="49"/>
        <v>706805.34000000008</v>
      </c>
      <c r="H174" s="41">
        <f t="shared" si="46"/>
        <v>205.1518727842334</v>
      </c>
      <c r="I174" s="23">
        <v>231624.12</v>
      </c>
      <c r="J174" s="19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48"/>
        <v>0</v>
      </c>
      <c r="G175" s="23">
        <f t="shared" si="49"/>
        <v>706805.34000000008</v>
      </c>
      <c r="H175" s="41">
        <f t="shared" si="46"/>
        <v>205.1518727842334</v>
      </c>
      <c r="I175" s="23">
        <v>231624.12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48"/>
        <v>0</v>
      </c>
      <c r="G176" s="23">
        <f t="shared" si="49"/>
        <v>706805.34000000008</v>
      </c>
      <c r="H176" s="41">
        <f t="shared" si="46"/>
        <v>205.1518727842334</v>
      </c>
      <c r="I176" s="23">
        <f>+I175+0</f>
        <v>231624.12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48"/>
        <v>0</v>
      </c>
      <c r="G177" s="23">
        <f t="shared" si="49"/>
        <v>706805.34000000008</v>
      </c>
      <c r="H177" s="41">
        <f t="shared" si="46"/>
        <v>205.1518727842334</v>
      </c>
      <c r="I177" s="23">
        <f>+I176+0</f>
        <v>231624.12</v>
      </c>
      <c r="J177" s="19"/>
    </row>
    <row r="178" spans="2:10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6" si="50">+E178+D178</f>
        <v>0</v>
      </c>
      <c r="G178" s="23">
        <f t="shared" ref="G178:G184" si="51">+G177+F178</f>
        <v>706805.34000000008</v>
      </c>
      <c r="H178" s="41">
        <f t="shared" si="46"/>
        <v>185.64702441948384</v>
      </c>
      <c r="I178" s="23">
        <f>+I177+15816</f>
        <v>247440.12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50"/>
        <v>0</v>
      </c>
      <c r="G179" s="23">
        <f t="shared" si="51"/>
        <v>706805.34000000008</v>
      </c>
      <c r="H179" s="41">
        <f t="shared" si="46"/>
        <v>185.64702441948384</v>
      </c>
      <c r="I179" s="23">
        <f t="shared" ref="I179:I183" si="52">+I178+0</f>
        <v>247440.12</v>
      </c>
      <c r="J179" s="19"/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50"/>
        <v>0</v>
      </c>
      <c r="G180" s="23">
        <f t="shared" si="51"/>
        <v>706805.34000000008</v>
      </c>
      <c r="H180" s="41">
        <f t="shared" si="46"/>
        <v>185.64702441948384</v>
      </c>
      <c r="I180" s="23">
        <f t="shared" si="52"/>
        <v>247440.12</v>
      </c>
      <c r="J180" s="19"/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50"/>
        <v>0</v>
      </c>
      <c r="G181" s="23">
        <f t="shared" si="51"/>
        <v>706805.34000000008</v>
      </c>
      <c r="H181" s="41">
        <f t="shared" si="46"/>
        <v>185.64702441948384</v>
      </c>
      <c r="I181" s="23">
        <f t="shared" si="52"/>
        <v>247440.12</v>
      </c>
      <c r="J181" s="19"/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50"/>
        <v>0</v>
      </c>
      <c r="G182" s="23">
        <f t="shared" si="51"/>
        <v>706805.34000000008</v>
      </c>
      <c r="H182" s="41">
        <f t="shared" si="46"/>
        <v>185.64702441948384</v>
      </c>
      <c r="I182" s="23">
        <f t="shared" si="52"/>
        <v>247440.12</v>
      </c>
      <c r="J182" s="19"/>
    </row>
    <row r="183" spans="2:10" x14ac:dyDescent="0.3">
      <c r="B183" s="33">
        <v>25</v>
      </c>
      <c r="C183" s="67" t="s">
        <v>78</v>
      </c>
      <c r="D183" s="23">
        <v>0</v>
      </c>
      <c r="E183" s="23">
        <v>0</v>
      </c>
      <c r="F183" s="40">
        <f t="shared" si="50"/>
        <v>0</v>
      </c>
      <c r="G183" s="23">
        <f t="shared" si="51"/>
        <v>706805.34000000008</v>
      </c>
      <c r="H183" s="41">
        <f t="shared" si="46"/>
        <v>185.64702441948384</v>
      </c>
      <c r="I183" s="23">
        <f t="shared" si="52"/>
        <v>247440.12</v>
      </c>
      <c r="J183" s="19"/>
    </row>
    <row r="184" spans="2:10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50"/>
        <v>0</v>
      </c>
      <c r="G184" s="95">
        <f t="shared" si="51"/>
        <v>706805.34000000008</v>
      </c>
      <c r="H184" s="41">
        <f t="shared" si="46"/>
        <v>185.64702441948384</v>
      </c>
      <c r="I184" s="23">
        <f>+I183+0</f>
        <v>247440.12</v>
      </c>
      <c r="J184" s="19"/>
    </row>
    <row r="185" spans="2:10" x14ac:dyDescent="0.3">
      <c r="B185" s="97">
        <v>27</v>
      </c>
      <c r="C185" s="67" t="s">
        <v>79</v>
      </c>
      <c r="D185" s="102">
        <v>0</v>
      </c>
      <c r="E185" s="103">
        <v>0</v>
      </c>
      <c r="F185" s="104">
        <f t="shared" si="50"/>
        <v>0</v>
      </c>
      <c r="G185" s="103">
        <f>+G184+F185</f>
        <v>706805.34000000008</v>
      </c>
      <c r="H185" s="41">
        <f t="shared" si="46"/>
        <v>185.64702441948384</v>
      </c>
      <c r="I185" s="23">
        <f>+I184+0</f>
        <v>247440.12</v>
      </c>
      <c r="J185" s="19"/>
    </row>
    <row r="186" spans="2:10" x14ac:dyDescent="0.3">
      <c r="B186" s="97">
        <v>28</v>
      </c>
      <c r="C186" s="93" t="s">
        <v>80</v>
      </c>
      <c r="D186" s="94">
        <v>0</v>
      </c>
      <c r="E186" s="95">
        <v>0</v>
      </c>
      <c r="F186" s="96">
        <f t="shared" si="50"/>
        <v>0</v>
      </c>
      <c r="G186" s="95">
        <f t="shared" ref="G186" si="53">+G185+F186</f>
        <v>706805.34000000008</v>
      </c>
      <c r="H186" s="41">
        <f t="shared" si="46"/>
        <v>185.64702441948384</v>
      </c>
      <c r="I186" s="23">
        <f>+I185+0</f>
        <v>247440.12</v>
      </c>
      <c r="J186" s="19"/>
    </row>
    <row r="187" spans="2:10" x14ac:dyDescent="0.3">
      <c r="B187" s="97">
        <v>29</v>
      </c>
      <c r="C187" s="67" t="s">
        <v>81</v>
      </c>
      <c r="D187" s="94">
        <v>0</v>
      </c>
      <c r="E187" s="95">
        <v>0</v>
      </c>
      <c r="F187" s="96">
        <f t="shared" ref="F187:F191" si="54">+E187+D187</f>
        <v>0</v>
      </c>
      <c r="G187" s="95">
        <f t="shared" ref="G187:G190" si="55">+G186+F187</f>
        <v>706805.34000000008</v>
      </c>
      <c r="H187" s="41">
        <f t="shared" ref="H187:H193" si="56">((G187-I187)/I187)*100</f>
        <v>185.64702441948384</v>
      </c>
      <c r="I187" s="23">
        <f t="shared" ref="I187:I193" si="57">+I186+0</f>
        <v>247440.12</v>
      </c>
      <c r="J187" s="10"/>
    </row>
    <row r="188" spans="2:10" x14ac:dyDescent="0.3">
      <c r="B188" s="97">
        <v>30</v>
      </c>
      <c r="C188" s="67" t="s">
        <v>82</v>
      </c>
      <c r="D188" s="94">
        <v>0</v>
      </c>
      <c r="E188" s="95">
        <v>0</v>
      </c>
      <c r="F188" s="96">
        <f t="shared" si="54"/>
        <v>0</v>
      </c>
      <c r="G188" s="95">
        <f t="shared" si="55"/>
        <v>706805.34000000008</v>
      </c>
      <c r="H188" s="41">
        <f t="shared" si="56"/>
        <v>185.64702441948384</v>
      </c>
      <c r="I188" s="23">
        <f t="shared" si="57"/>
        <v>247440.12</v>
      </c>
      <c r="J188" s="10"/>
    </row>
    <row r="189" spans="2:10" x14ac:dyDescent="0.3">
      <c r="B189" s="97">
        <v>31</v>
      </c>
      <c r="C189" s="67" t="s">
        <v>83</v>
      </c>
      <c r="D189" s="94">
        <v>0</v>
      </c>
      <c r="E189" s="95">
        <v>0</v>
      </c>
      <c r="F189" s="96">
        <f t="shared" si="54"/>
        <v>0</v>
      </c>
      <c r="G189" s="95">
        <f t="shared" si="55"/>
        <v>706805.34000000008</v>
      </c>
      <c r="H189" s="41">
        <f t="shared" si="56"/>
        <v>185.64702441948384</v>
      </c>
      <c r="I189" s="23">
        <f t="shared" si="57"/>
        <v>247440.12</v>
      </c>
      <c r="J189" s="10"/>
    </row>
    <row r="190" spans="2:10" x14ac:dyDescent="0.3">
      <c r="B190" s="97">
        <v>32</v>
      </c>
      <c r="C190" s="67" t="s">
        <v>84</v>
      </c>
      <c r="D190" s="94">
        <v>0</v>
      </c>
      <c r="E190" s="95">
        <v>0</v>
      </c>
      <c r="F190" s="96">
        <f t="shared" si="54"/>
        <v>0</v>
      </c>
      <c r="G190" s="95">
        <f t="shared" si="55"/>
        <v>706805.34000000008</v>
      </c>
      <c r="H190" s="41">
        <f t="shared" si="56"/>
        <v>185.64702441948384</v>
      </c>
      <c r="I190" s="23">
        <f t="shared" si="57"/>
        <v>247440.12</v>
      </c>
      <c r="J190" s="10"/>
    </row>
    <row r="191" spans="2:10" x14ac:dyDescent="0.3">
      <c r="B191" s="97">
        <v>33</v>
      </c>
      <c r="C191" s="67" t="s">
        <v>85</v>
      </c>
      <c r="D191" s="94">
        <v>0</v>
      </c>
      <c r="E191" s="95">
        <v>0</v>
      </c>
      <c r="F191" s="96">
        <f t="shared" si="54"/>
        <v>0</v>
      </c>
      <c r="G191" s="95">
        <f>+G190+F191</f>
        <v>706805.34000000008</v>
      </c>
      <c r="H191" s="41">
        <f t="shared" si="56"/>
        <v>185.64702441948384</v>
      </c>
      <c r="I191" s="23">
        <f t="shared" si="57"/>
        <v>247440.12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706805.34000000008</v>
      </c>
      <c r="H192" s="41">
        <f t="shared" si="56"/>
        <v>185.64702441948384</v>
      </c>
      <c r="I192" s="23">
        <f t="shared" si="57"/>
        <v>247440.12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706805.34000000008</v>
      </c>
      <c r="H193" s="41">
        <f t="shared" si="56"/>
        <v>185.64702441948384</v>
      </c>
      <c r="I193" s="23">
        <f t="shared" si="57"/>
        <v>247440.12</v>
      </c>
      <c r="J193" s="10"/>
    </row>
    <row r="194" spans="2:10" hidden="1" x14ac:dyDescent="0.3">
      <c r="B194" s="97">
        <v>36</v>
      </c>
      <c r="C194" s="67"/>
      <c r="D194" s="94"/>
      <c r="E194" s="95"/>
      <c r="F194" s="96"/>
      <c r="G194" s="96"/>
      <c r="H194" s="41"/>
      <c r="I194" s="23"/>
      <c r="J194" s="10"/>
    </row>
    <row r="195" spans="2:10" hidden="1" x14ac:dyDescent="0.3">
      <c r="B195" s="97">
        <v>37</v>
      </c>
      <c r="C195" s="67"/>
      <c r="D195" s="94"/>
      <c r="E195" s="95"/>
      <c r="F195" s="96"/>
      <c r="G195" s="96"/>
      <c r="H195" s="41"/>
      <c r="I195" s="23"/>
      <c r="J195" s="10"/>
    </row>
    <row r="196" spans="2:10" hidden="1" x14ac:dyDescent="0.3">
      <c r="B196" s="97">
        <v>38</v>
      </c>
      <c r="C196" s="67"/>
      <c r="D196" s="94"/>
      <c r="E196" s="95"/>
      <c r="F196" s="96"/>
      <c r="G196" s="96"/>
      <c r="H196" s="41"/>
      <c r="I196" s="23"/>
      <c r="J196" s="10"/>
    </row>
    <row r="197" spans="2:10" hidden="1" x14ac:dyDescent="0.3">
      <c r="B197" s="97">
        <v>39</v>
      </c>
      <c r="C197" s="67"/>
      <c r="D197" s="94"/>
      <c r="E197" s="95"/>
      <c r="F197" s="96"/>
      <c r="G197" s="96"/>
      <c r="H197" s="41"/>
      <c r="I197" s="23"/>
      <c r="J197" s="10"/>
    </row>
    <row r="198" spans="2:10" hidden="1" x14ac:dyDescent="0.3">
      <c r="B198" s="97">
        <v>40</v>
      </c>
      <c r="C198" s="67"/>
      <c r="D198" s="94"/>
      <c r="E198" s="95"/>
      <c r="F198" s="96"/>
      <c r="G198" s="96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7"/>
      <c r="I199" s="6"/>
      <c r="J199" s="5"/>
    </row>
    <row r="200" spans="2:10" x14ac:dyDescent="0.3">
      <c r="B200" s="8" t="s">
        <v>27</v>
      </c>
      <c r="C200" s="5"/>
      <c r="D200" s="5"/>
      <c r="E200" s="5"/>
      <c r="F200" s="5"/>
      <c r="G200" s="5"/>
      <c r="H200" s="5"/>
      <c r="I200" s="5"/>
      <c r="J200" s="5"/>
    </row>
    <row r="201" spans="2:10" x14ac:dyDescent="0.3">
      <c r="B201" s="9" t="s">
        <v>28</v>
      </c>
      <c r="C201" s="5"/>
      <c r="D201" s="5"/>
      <c r="E201" s="5"/>
      <c r="F201" s="5"/>
      <c r="G201" s="5"/>
      <c r="H201" s="5"/>
      <c r="I201" s="5"/>
      <c r="J201" s="5"/>
    </row>
    <row r="202" spans="2:10" x14ac:dyDescent="0.3">
      <c r="B202" s="9" t="s">
        <v>29</v>
      </c>
      <c r="C202" s="5"/>
      <c r="D202" s="5"/>
      <c r="E202" s="5"/>
      <c r="F202" s="5"/>
      <c r="G202" s="5"/>
      <c r="H202" s="5"/>
      <c r="I202" s="5"/>
      <c r="J202" s="5"/>
    </row>
    <row r="203" spans="2:10" x14ac:dyDescent="0.3">
      <c r="B203" s="9" t="s">
        <v>30</v>
      </c>
      <c r="C203" s="5"/>
      <c r="D203" s="5"/>
      <c r="E203" s="5"/>
      <c r="F203" s="5"/>
      <c r="G203" s="5"/>
      <c r="H203" s="5"/>
      <c r="I203" s="5"/>
      <c r="J203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203"/>
  <sheetViews>
    <sheetView topLeftCell="C16" zoomScale="76" zoomScaleNormal="76" workbookViewId="0">
      <selection activeCell="B157" sqref="B157:J157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2.125" style="3" bestFit="1" customWidth="1"/>
    <col min="14" max="16384" width="9" style="3"/>
  </cols>
  <sheetData>
    <row r="3" spans="2:13" s="28" customFormat="1" ht="18" x14ac:dyDescent="0.35">
      <c r="B3" s="24"/>
      <c r="C3" s="24"/>
      <c r="D3" s="137" t="s">
        <v>37</v>
      </c>
      <c r="E3" s="137"/>
      <c r="F3" s="137"/>
      <c r="G3" s="137"/>
      <c r="H3" s="137"/>
      <c r="I3" s="137"/>
      <c r="J3" s="24"/>
      <c r="K3" s="29"/>
      <c r="L3" s="2"/>
    </row>
    <row r="4" spans="2:13" ht="15.9" customHeight="1" x14ac:dyDescent="0.3">
      <c r="B4" s="132" t="s">
        <v>89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3" ht="14.4" customHeight="1" x14ac:dyDescent="0.3">
      <c r="B5" s="14"/>
      <c r="C5" s="15"/>
      <c r="D5" s="128" t="s">
        <v>6</v>
      </c>
      <c r="E5" s="129"/>
      <c r="F5" s="129"/>
      <c r="G5" s="130"/>
      <c r="H5" s="120" t="s">
        <v>7</v>
      </c>
      <c r="I5" s="121"/>
      <c r="J5" s="4"/>
      <c r="K5" s="1"/>
      <c r="L5" s="2"/>
    </row>
    <row r="6" spans="2:13" x14ac:dyDescent="0.3">
      <c r="B6" s="12"/>
      <c r="C6" s="13"/>
      <c r="D6" s="124" t="s">
        <v>9</v>
      </c>
      <c r="E6" s="125"/>
      <c r="F6" s="125"/>
      <c r="G6" s="126"/>
      <c r="H6" s="122"/>
      <c r="I6" s="123"/>
      <c r="J6" s="4"/>
      <c r="K6" s="1"/>
      <c r="L6" s="2"/>
    </row>
    <row r="7" spans="2:13" ht="18.899999999999999" customHeight="1" x14ac:dyDescent="0.3">
      <c r="B7" s="111" t="s">
        <v>10</v>
      </c>
      <c r="C7" s="113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15" t="s">
        <v>16</v>
      </c>
      <c r="I7" s="113" t="s">
        <v>17</v>
      </c>
      <c r="J7" s="17"/>
      <c r="K7" s="1"/>
      <c r="L7" s="2"/>
    </row>
    <row r="8" spans="2:13" ht="35.4" customHeight="1" x14ac:dyDescent="0.3">
      <c r="B8" s="112"/>
      <c r="C8" s="114"/>
      <c r="D8" s="117" t="s">
        <v>20</v>
      </c>
      <c r="E8" s="118"/>
      <c r="F8" s="118"/>
      <c r="G8" s="119"/>
      <c r="H8" s="116"/>
      <c r="I8" s="114"/>
      <c r="J8" s="17"/>
      <c r="K8" s="1"/>
    </row>
    <row r="9" spans="2:13" x14ac:dyDescent="0.3">
      <c r="B9" s="33">
        <v>4</v>
      </c>
      <c r="C9" s="31" t="s">
        <v>21</v>
      </c>
      <c r="D9" s="18">
        <v>281223.5</v>
      </c>
      <c r="E9" s="18">
        <v>0</v>
      </c>
      <c r="F9" s="36">
        <f>+D9+E9</f>
        <v>281223.5</v>
      </c>
      <c r="G9" s="18">
        <f>+F9</f>
        <v>281223.5</v>
      </c>
      <c r="H9" s="37">
        <f t="shared" ref="H9:H33" si="0">((G9-I9)/I9)*100</f>
        <v>73.673013147899979</v>
      </c>
      <c r="I9" s="18">
        <v>161927</v>
      </c>
      <c r="J9" s="19"/>
      <c r="K9" s="1"/>
    </row>
    <row r="10" spans="2:13" x14ac:dyDescent="0.3">
      <c r="B10" s="33">
        <v>5</v>
      </c>
      <c r="C10" s="31" t="s">
        <v>22</v>
      </c>
      <c r="D10" s="23">
        <v>661494.31000000006</v>
      </c>
      <c r="E10" s="23">
        <v>0</v>
      </c>
      <c r="F10" s="40">
        <f>+E10+D10</f>
        <v>661494.31000000006</v>
      </c>
      <c r="G10" s="23">
        <f>+G9+F10</f>
        <v>942717.81</v>
      </c>
      <c r="H10" s="41">
        <f t="shared" si="0"/>
        <v>-24.606981427972126</v>
      </c>
      <c r="I10" s="23">
        <f>+I9+1088477.65</f>
        <v>1250404.6499999999</v>
      </c>
      <c r="J10" s="19"/>
      <c r="K10" s="1"/>
    </row>
    <row r="11" spans="2:13" x14ac:dyDescent="0.3">
      <c r="B11" s="33">
        <v>6</v>
      </c>
      <c r="C11" s="31" t="s">
        <v>23</v>
      </c>
      <c r="D11" s="23">
        <v>684028.5</v>
      </c>
      <c r="E11" s="23">
        <v>-79989</v>
      </c>
      <c r="F11" s="40">
        <f>+E11+D11</f>
        <v>604039.5</v>
      </c>
      <c r="G11" s="23">
        <f t="shared" ref="G11:G24" si="1">+G10+F11</f>
        <v>1546757.31</v>
      </c>
      <c r="H11" s="41">
        <f t="shared" si="0"/>
        <v>-30.390468987897769</v>
      </c>
      <c r="I11" s="23">
        <f>+I10+971643.52</f>
        <v>2222048.17</v>
      </c>
      <c r="J11" s="19"/>
      <c r="K11" s="1"/>
    </row>
    <row r="12" spans="2:13" x14ac:dyDescent="0.3">
      <c r="B12" s="33">
        <v>7</v>
      </c>
      <c r="C12" s="31" t="s">
        <v>24</v>
      </c>
      <c r="D12" s="23">
        <v>106349.5</v>
      </c>
      <c r="E12" s="23">
        <v>376135</v>
      </c>
      <c r="F12" s="40">
        <f t="shared" ref="F12:F24" si="2">+E12+D12</f>
        <v>482484.5</v>
      </c>
      <c r="G12" s="23">
        <f>+G11+F12</f>
        <v>2029241.81</v>
      </c>
      <c r="H12" s="41">
        <f t="shared" si="0"/>
        <v>-34.974765300493864</v>
      </c>
      <c r="I12" s="23">
        <f>+I11+898650.77</f>
        <v>3120698.94</v>
      </c>
      <c r="J12" s="19"/>
      <c r="K12" s="1"/>
      <c r="L12" s="30"/>
      <c r="M12" s="30"/>
    </row>
    <row r="13" spans="2:13" x14ac:dyDescent="0.3">
      <c r="B13" s="33">
        <v>8</v>
      </c>
      <c r="C13" s="31" t="s">
        <v>25</v>
      </c>
      <c r="D13" s="23">
        <v>305410.52</v>
      </c>
      <c r="E13" s="23">
        <v>0</v>
      </c>
      <c r="F13" s="40">
        <f t="shared" si="2"/>
        <v>305410.52</v>
      </c>
      <c r="G13" s="23">
        <f t="shared" si="1"/>
        <v>2334652.33</v>
      </c>
      <c r="H13" s="41">
        <f t="shared" si="0"/>
        <v>-43.624328275601222</v>
      </c>
      <c r="I13" s="23">
        <v>4141240.82</v>
      </c>
      <c r="J13" s="19"/>
      <c r="K13" s="1"/>
      <c r="L13" s="32"/>
    </row>
    <row r="14" spans="2:13" x14ac:dyDescent="0.3">
      <c r="B14" s="33">
        <v>9</v>
      </c>
      <c r="C14" s="31" t="s">
        <v>26</v>
      </c>
      <c r="D14" s="23">
        <v>151092</v>
      </c>
      <c r="E14" s="23">
        <v>0</v>
      </c>
      <c r="F14" s="40">
        <f t="shared" si="2"/>
        <v>151092</v>
      </c>
      <c r="G14" s="23">
        <f t="shared" si="1"/>
        <v>2485744.33</v>
      </c>
      <c r="H14" s="41">
        <f t="shared" si="0"/>
        <v>-48.08615788126933</v>
      </c>
      <c r="I14" s="23">
        <f>+I13+646970.24</f>
        <v>4788211.0599999996</v>
      </c>
      <c r="J14" s="19"/>
      <c r="K14" s="1"/>
    </row>
    <row r="15" spans="2:13" x14ac:dyDescent="0.3">
      <c r="B15" s="33">
        <v>10</v>
      </c>
      <c r="C15" s="31" t="s">
        <v>55</v>
      </c>
      <c r="D15" s="23">
        <v>511962.51</v>
      </c>
      <c r="E15" s="23">
        <v>0</v>
      </c>
      <c r="F15" s="40">
        <f t="shared" si="2"/>
        <v>511962.51</v>
      </c>
      <c r="G15" s="23">
        <f t="shared" si="1"/>
        <v>2997706.84</v>
      </c>
      <c r="H15" s="41">
        <f t="shared" si="0"/>
        <v>-53.924779876357157</v>
      </c>
      <c r="I15" s="23">
        <f>+I14+1717904.01</f>
        <v>6506115.0699999994</v>
      </c>
      <c r="J15" s="19"/>
      <c r="K15" s="1"/>
    </row>
    <row r="16" spans="2:13" x14ac:dyDescent="0.3">
      <c r="B16" s="33">
        <v>11</v>
      </c>
      <c r="C16" s="31" t="s">
        <v>56</v>
      </c>
      <c r="D16" s="23">
        <v>270748</v>
      </c>
      <c r="E16" s="23">
        <v>0</v>
      </c>
      <c r="F16" s="40">
        <f t="shared" si="2"/>
        <v>270748</v>
      </c>
      <c r="G16" s="23">
        <f t="shared" si="1"/>
        <v>3268454.84</v>
      </c>
      <c r="H16" s="41">
        <f t="shared" si="0"/>
        <v>-54.314560126959442</v>
      </c>
      <c r="I16" s="23">
        <f>+I15+648144.25</f>
        <v>7154259.3199999994</v>
      </c>
      <c r="J16" s="19"/>
      <c r="K16" s="1"/>
    </row>
    <row r="17" spans="2:13" x14ac:dyDescent="0.3">
      <c r="B17" s="33">
        <v>12</v>
      </c>
      <c r="C17" s="31" t="s">
        <v>71</v>
      </c>
      <c r="D17" s="23">
        <v>374984.52</v>
      </c>
      <c r="E17" s="23">
        <v>0</v>
      </c>
      <c r="F17" s="40">
        <f t="shared" si="2"/>
        <v>374984.52</v>
      </c>
      <c r="G17" s="23">
        <f t="shared" si="1"/>
        <v>3643439.36</v>
      </c>
      <c r="H17" s="41">
        <f t="shared" si="0"/>
        <v>-53.693033172276749</v>
      </c>
      <c r="I17" s="23">
        <f>+I16+713756.25</f>
        <v>7868015.5699999994</v>
      </c>
      <c r="J17" s="19"/>
      <c r="K17" s="1"/>
    </row>
    <row r="18" spans="2:13" x14ac:dyDescent="0.3">
      <c r="B18" s="33">
        <v>13</v>
      </c>
      <c r="C18" s="31" t="s">
        <v>57</v>
      </c>
      <c r="D18" s="23">
        <v>249899.5</v>
      </c>
      <c r="E18" s="23">
        <v>0</v>
      </c>
      <c r="F18" s="40">
        <f t="shared" si="2"/>
        <v>249899.5</v>
      </c>
      <c r="G18" s="23">
        <f t="shared" si="1"/>
        <v>3893338.86</v>
      </c>
      <c r="H18" s="41">
        <f t="shared" si="0"/>
        <v>-54.245920723388089</v>
      </c>
      <c r="I18" s="23">
        <v>8509271.5700000003</v>
      </c>
      <c r="J18" s="19"/>
      <c r="K18" s="1"/>
    </row>
    <row r="19" spans="2:13" x14ac:dyDescent="0.3">
      <c r="B19" s="33">
        <v>14</v>
      </c>
      <c r="C19" s="49" t="s">
        <v>58</v>
      </c>
      <c r="D19" s="23">
        <v>42124</v>
      </c>
      <c r="E19" s="23">
        <v>1829</v>
      </c>
      <c r="F19" s="40">
        <f t="shared" si="2"/>
        <v>43953</v>
      </c>
      <c r="G19" s="23">
        <f t="shared" si="1"/>
        <v>3937291.86</v>
      </c>
      <c r="H19" s="41">
        <f t="shared" si="0"/>
        <v>-56.949210805991953</v>
      </c>
      <c r="I19" s="23">
        <f>+I18+636418.75</f>
        <v>9145690.3200000003</v>
      </c>
      <c r="J19" s="19"/>
      <c r="K19" s="1"/>
    </row>
    <row r="20" spans="2:13" x14ac:dyDescent="0.3">
      <c r="B20" s="33">
        <v>15</v>
      </c>
      <c r="C20" s="31" t="s">
        <v>59</v>
      </c>
      <c r="D20" s="23">
        <v>10807</v>
      </c>
      <c r="E20" s="23">
        <v>0</v>
      </c>
      <c r="F20" s="40">
        <f t="shared" si="2"/>
        <v>10807</v>
      </c>
      <c r="G20" s="23">
        <f t="shared" si="1"/>
        <v>3948098.86</v>
      </c>
      <c r="H20" s="41">
        <f t="shared" si="0"/>
        <v>-57.813054529598887</v>
      </c>
      <c r="I20" s="23">
        <f>+I19+212889.25</f>
        <v>9358579.5700000003</v>
      </c>
      <c r="J20" s="19"/>
      <c r="K20" s="1"/>
    </row>
    <row r="21" spans="2:13" x14ac:dyDescent="0.3">
      <c r="B21" s="33">
        <v>16</v>
      </c>
      <c r="C21" s="31" t="s">
        <v>60</v>
      </c>
      <c r="D21" s="23">
        <v>154714</v>
      </c>
      <c r="E21" s="23">
        <v>0</v>
      </c>
      <c r="F21" s="40">
        <f t="shared" si="2"/>
        <v>154714</v>
      </c>
      <c r="G21" s="23">
        <f t="shared" si="1"/>
        <v>4102812.86</v>
      </c>
      <c r="H21" s="41">
        <f t="shared" si="0"/>
        <v>-57.687797912102759</v>
      </c>
      <c r="I21" s="23">
        <v>9696524.0700000003</v>
      </c>
      <c r="J21" s="19"/>
      <c r="K21" s="1"/>
    </row>
    <row r="22" spans="2:13" x14ac:dyDescent="0.3">
      <c r="B22" s="33">
        <v>17</v>
      </c>
      <c r="C22" s="31" t="s">
        <v>61</v>
      </c>
      <c r="D22" s="23">
        <v>6027</v>
      </c>
      <c r="E22" s="23">
        <v>18913.5</v>
      </c>
      <c r="F22" s="40">
        <f t="shared" si="2"/>
        <v>24940.5</v>
      </c>
      <c r="G22" s="23">
        <f t="shared" si="1"/>
        <v>4127753.36</v>
      </c>
      <c r="H22" s="41">
        <f t="shared" si="0"/>
        <v>-58.050477289344684</v>
      </c>
      <c r="I22" s="23">
        <v>9839810.0700000003</v>
      </c>
      <c r="J22" s="19"/>
      <c r="K22" s="1"/>
    </row>
    <row r="23" spans="2:13" x14ac:dyDescent="0.3">
      <c r="B23" s="33">
        <v>18</v>
      </c>
      <c r="C23" s="31" t="s">
        <v>62</v>
      </c>
      <c r="D23" s="23">
        <v>21416.5</v>
      </c>
      <c r="E23" s="23">
        <v>0</v>
      </c>
      <c r="F23" s="40">
        <f t="shared" si="2"/>
        <v>21416.5</v>
      </c>
      <c r="G23" s="23">
        <f t="shared" si="1"/>
        <v>4149169.86</v>
      </c>
      <c r="H23" s="41">
        <f t="shared" si="0"/>
        <v>-58.668735193355573</v>
      </c>
      <c r="I23" s="23">
        <f>+I22+199006.5</f>
        <v>10038816.57</v>
      </c>
      <c r="J23" s="19"/>
      <c r="K23" s="1"/>
    </row>
    <row r="24" spans="2:13" x14ac:dyDescent="0.3">
      <c r="B24" s="33">
        <v>19</v>
      </c>
      <c r="C24" s="31" t="s">
        <v>63</v>
      </c>
      <c r="D24" s="23">
        <v>2586</v>
      </c>
      <c r="E24" s="23">
        <v>0</v>
      </c>
      <c r="F24" s="40">
        <f t="shared" si="2"/>
        <v>2586</v>
      </c>
      <c r="G24" s="23">
        <f t="shared" si="1"/>
        <v>4151755.86</v>
      </c>
      <c r="H24" s="41">
        <f t="shared" si="0"/>
        <v>-58.997285101171052</v>
      </c>
      <c r="I24" s="23">
        <f>+I23+86746.75</f>
        <v>10125563.32</v>
      </c>
      <c r="J24" s="19"/>
      <c r="K24" s="1"/>
      <c r="L24" s="32"/>
      <c r="M24" s="32"/>
    </row>
    <row r="25" spans="2:13" x14ac:dyDescent="0.3">
      <c r="B25" s="33">
        <v>20</v>
      </c>
      <c r="C25" s="31" t="s">
        <v>64</v>
      </c>
      <c r="D25" s="23">
        <v>15988</v>
      </c>
      <c r="E25" s="23">
        <v>0</v>
      </c>
      <c r="F25" s="40">
        <f t="shared" ref="F25:F33" si="3">+E25+D25</f>
        <v>15988</v>
      </c>
      <c r="G25" s="23">
        <f t="shared" ref="G25:G33" si="4">+G24+F25</f>
        <v>4167743.86</v>
      </c>
      <c r="H25" s="41">
        <f t="shared" si="0"/>
        <v>-59.007982045557227</v>
      </c>
      <c r="I25" s="23">
        <f>+I24+41645</f>
        <v>10167208.32</v>
      </c>
      <c r="J25" s="19"/>
      <c r="K25" s="1"/>
    </row>
    <row r="26" spans="2:13" x14ac:dyDescent="0.3">
      <c r="B26" s="33">
        <v>21</v>
      </c>
      <c r="C26" s="31" t="s">
        <v>65</v>
      </c>
      <c r="D26" s="23">
        <v>0</v>
      </c>
      <c r="E26" s="23">
        <v>0</v>
      </c>
      <c r="F26" s="40">
        <f t="shared" si="3"/>
        <v>0</v>
      </c>
      <c r="G26" s="23">
        <f t="shared" si="4"/>
        <v>4167743.86</v>
      </c>
      <c r="H26" s="41">
        <f t="shared" si="0"/>
        <v>-59.028942662083985</v>
      </c>
      <c r="I26" s="23">
        <f>+I25+5201.5</f>
        <v>10172409.82</v>
      </c>
      <c r="J26" s="19"/>
      <c r="K26" s="1"/>
      <c r="L26" s="32"/>
      <c r="M26" s="32"/>
    </row>
    <row r="27" spans="2:13" x14ac:dyDescent="0.3">
      <c r="B27" s="33">
        <v>22</v>
      </c>
      <c r="C27" s="31" t="s">
        <v>66</v>
      </c>
      <c r="D27" s="23">
        <v>15319</v>
      </c>
      <c r="E27" s="23">
        <v>0</v>
      </c>
      <c r="F27" s="40">
        <f t="shared" si="3"/>
        <v>15319</v>
      </c>
      <c r="G27" s="23">
        <f t="shared" si="4"/>
        <v>4183062.86</v>
      </c>
      <c r="H27" s="41">
        <f t="shared" si="0"/>
        <v>-58.879674162991279</v>
      </c>
      <c r="I27" s="23">
        <f>+I26+327.81</f>
        <v>10172737.630000001</v>
      </c>
      <c r="J27" s="19"/>
      <c r="K27" s="1"/>
    </row>
    <row r="28" spans="2:13" x14ac:dyDescent="0.3">
      <c r="B28" s="33">
        <v>23</v>
      </c>
      <c r="C28" s="31" t="s">
        <v>76</v>
      </c>
      <c r="D28" s="23">
        <v>7083</v>
      </c>
      <c r="E28" s="23">
        <v>0</v>
      </c>
      <c r="F28" s="40">
        <f t="shared" si="3"/>
        <v>7083</v>
      </c>
      <c r="G28" s="23">
        <f t="shared" si="4"/>
        <v>4190145.86</v>
      </c>
      <c r="H28" s="41">
        <f t="shared" si="0"/>
        <v>-58.816475780518154</v>
      </c>
      <c r="I28" s="23">
        <f>+I27+1588</f>
        <v>10174325.630000001</v>
      </c>
      <c r="J28" s="19"/>
      <c r="K28" s="1"/>
    </row>
    <row r="29" spans="2:13" x14ac:dyDescent="0.3">
      <c r="B29" s="33">
        <v>24</v>
      </c>
      <c r="C29" s="31" t="s">
        <v>68</v>
      </c>
      <c r="D29" s="23">
        <v>0</v>
      </c>
      <c r="E29" s="23">
        <v>0</v>
      </c>
      <c r="F29" s="40">
        <f t="shared" si="3"/>
        <v>0</v>
      </c>
      <c r="G29" s="23">
        <f t="shared" si="4"/>
        <v>4190145.86</v>
      </c>
      <c r="H29" s="41">
        <f t="shared" si="0"/>
        <v>-58.827652456593391</v>
      </c>
      <c r="I29" s="23">
        <f>+I28+2761.93</f>
        <v>10177087.560000001</v>
      </c>
      <c r="J29" s="19"/>
      <c r="K29" s="1"/>
    </row>
    <row r="30" spans="2:13" x14ac:dyDescent="0.3">
      <c r="B30" s="33">
        <v>25</v>
      </c>
      <c r="C30" s="67" t="s">
        <v>69</v>
      </c>
      <c r="D30" s="23">
        <v>4149</v>
      </c>
      <c r="E30" s="23">
        <v>0</v>
      </c>
      <c r="F30" s="40">
        <f t="shared" si="3"/>
        <v>4149</v>
      </c>
      <c r="G30" s="23">
        <f t="shared" si="4"/>
        <v>4194294.86</v>
      </c>
      <c r="H30" s="41">
        <f t="shared" si="0"/>
        <v>-58.786884408018217</v>
      </c>
      <c r="I30" s="23">
        <f>+I29+0</f>
        <v>10177087.560000001</v>
      </c>
      <c r="J30" s="19"/>
      <c r="K30" s="1"/>
      <c r="M30" s="32"/>
    </row>
    <row r="31" spans="2:13" x14ac:dyDescent="0.3">
      <c r="B31" s="33">
        <v>26</v>
      </c>
      <c r="C31" s="67" t="s">
        <v>70</v>
      </c>
      <c r="D31" s="23">
        <v>15308</v>
      </c>
      <c r="E31" s="23">
        <v>0</v>
      </c>
      <c r="F31" s="40">
        <f t="shared" si="3"/>
        <v>15308</v>
      </c>
      <c r="G31" s="23">
        <f t="shared" si="4"/>
        <v>4209602.8599999994</v>
      </c>
      <c r="H31" s="41">
        <f t="shared" si="0"/>
        <v>-58.636468093824675</v>
      </c>
      <c r="I31" s="23">
        <f>+I30+0</f>
        <v>10177087.560000001</v>
      </c>
      <c r="J31" s="19"/>
      <c r="K31" s="1"/>
      <c r="M31" s="32"/>
    </row>
    <row r="32" spans="2:13" x14ac:dyDescent="0.3">
      <c r="B32" s="33">
        <v>27</v>
      </c>
      <c r="C32" s="67" t="s">
        <v>79</v>
      </c>
      <c r="D32" s="23">
        <v>0</v>
      </c>
      <c r="E32" s="23">
        <v>0</v>
      </c>
      <c r="F32" s="40">
        <f t="shared" si="3"/>
        <v>0</v>
      </c>
      <c r="G32" s="23">
        <f t="shared" si="4"/>
        <v>4209602.8599999994</v>
      </c>
      <c r="H32" s="41">
        <f t="shared" si="0"/>
        <v>-58.636468093824675</v>
      </c>
      <c r="I32" s="23">
        <f>+I31+0</f>
        <v>10177087.560000001</v>
      </c>
      <c r="J32" s="19"/>
      <c r="K32" s="1"/>
      <c r="M32" s="32"/>
    </row>
    <row r="33" spans="2:13" x14ac:dyDescent="0.3">
      <c r="B33" s="33">
        <v>28</v>
      </c>
      <c r="C33" s="67" t="s">
        <v>80</v>
      </c>
      <c r="D33" s="23">
        <v>2926</v>
      </c>
      <c r="E33" s="23">
        <v>-156401.5</v>
      </c>
      <c r="F33" s="40">
        <f t="shared" si="3"/>
        <v>-153475.5</v>
      </c>
      <c r="G33" s="23">
        <f t="shared" si="4"/>
        <v>4056127.3599999994</v>
      </c>
      <c r="H33" s="41">
        <f t="shared" si="0"/>
        <v>-60.144517416336349</v>
      </c>
      <c r="I33" s="23">
        <f>+I32+0</f>
        <v>10177087.560000001</v>
      </c>
      <c r="J33" s="19"/>
      <c r="K33" s="1"/>
      <c r="M33" s="32"/>
    </row>
    <row r="34" spans="2:13" x14ac:dyDescent="0.3">
      <c r="B34" s="33">
        <v>29</v>
      </c>
      <c r="C34" s="67" t="s">
        <v>81</v>
      </c>
      <c r="D34" s="23">
        <v>0</v>
      </c>
      <c r="E34" s="23">
        <v>0</v>
      </c>
      <c r="F34" s="40">
        <f t="shared" ref="F34:F38" si="5">+E34+D34</f>
        <v>0</v>
      </c>
      <c r="G34" s="23">
        <f t="shared" ref="G34:G37" si="6">+G33+F34</f>
        <v>4056127.3599999994</v>
      </c>
      <c r="H34" s="41">
        <f t="shared" ref="H34:H37" si="7">((G34-I34)/I34)*100</f>
        <v>-60.144517416336349</v>
      </c>
      <c r="I34" s="23">
        <f t="shared" ref="I34:I40" si="8">+I33+0</f>
        <v>10177087.560000001</v>
      </c>
      <c r="J34" s="19"/>
      <c r="K34" s="1"/>
      <c r="M34" s="32"/>
    </row>
    <row r="35" spans="2:13" x14ac:dyDescent="0.3">
      <c r="B35" s="33">
        <v>30</v>
      </c>
      <c r="C35" s="67" t="s">
        <v>82</v>
      </c>
      <c r="D35" s="23">
        <v>0</v>
      </c>
      <c r="E35" s="23">
        <v>0</v>
      </c>
      <c r="F35" s="40">
        <f t="shared" si="5"/>
        <v>0</v>
      </c>
      <c r="G35" s="23">
        <f t="shared" si="6"/>
        <v>4056127.3599999994</v>
      </c>
      <c r="H35" s="41">
        <f t="shared" si="7"/>
        <v>-60.144517416336349</v>
      </c>
      <c r="I35" s="23">
        <f t="shared" si="8"/>
        <v>10177087.560000001</v>
      </c>
      <c r="J35" s="19"/>
      <c r="K35" s="1"/>
      <c r="M35" s="32"/>
    </row>
    <row r="36" spans="2:13" x14ac:dyDescent="0.3">
      <c r="B36" s="33">
        <v>31</v>
      </c>
      <c r="C36" s="67" t="s">
        <v>83</v>
      </c>
      <c r="D36" s="23">
        <v>29858.5</v>
      </c>
      <c r="E36" s="23">
        <v>0</v>
      </c>
      <c r="F36" s="40">
        <f t="shared" si="5"/>
        <v>29858.5</v>
      </c>
      <c r="G36" s="23">
        <f t="shared" si="6"/>
        <v>4085985.8599999994</v>
      </c>
      <c r="H36" s="41">
        <f t="shared" si="7"/>
        <v>-59.851127978307396</v>
      </c>
      <c r="I36" s="23">
        <f t="shared" si="8"/>
        <v>10177087.560000001</v>
      </c>
      <c r="J36" s="19"/>
      <c r="K36" s="1"/>
      <c r="M36" s="32"/>
    </row>
    <row r="37" spans="2:13" x14ac:dyDescent="0.3">
      <c r="B37" s="33">
        <v>32</v>
      </c>
      <c r="C37" s="67" t="s">
        <v>84</v>
      </c>
      <c r="D37" s="23">
        <v>0</v>
      </c>
      <c r="E37" s="23">
        <v>0</v>
      </c>
      <c r="F37" s="40">
        <f t="shared" si="5"/>
        <v>0</v>
      </c>
      <c r="G37" s="23">
        <f t="shared" si="6"/>
        <v>4085985.8599999994</v>
      </c>
      <c r="H37" s="41">
        <f t="shared" si="7"/>
        <v>-59.851127978307396</v>
      </c>
      <c r="I37" s="23">
        <f t="shared" si="8"/>
        <v>10177087.560000001</v>
      </c>
      <c r="J37" s="19"/>
      <c r="K37" s="1"/>
      <c r="M37" s="32"/>
    </row>
    <row r="38" spans="2:13" x14ac:dyDescent="0.3">
      <c r="B38" s="33">
        <v>33</v>
      </c>
      <c r="C38" s="67" t="s">
        <v>85</v>
      </c>
      <c r="D38" s="23">
        <v>0</v>
      </c>
      <c r="E38" s="23">
        <v>415.5</v>
      </c>
      <c r="F38" s="40">
        <f t="shared" si="5"/>
        <v>415.5</v>
      </c>
      <c r="G38" s="23">
        <f>+G37+F38</f>
        <v>4086401.3599999994</v>
      </c>
      <c r="H38" s="41">
        <f t="shared" ref="H38:H40" si="9">((G38-I38)/I38)*100</f>
        <v>-59.847045277853553</v>
      </c>
      <c r="I38" s="23">
        <f t="shared" si="8"/>
        <v>10177087.560000001</v>
      </c>
      <c r="J38" s="10"/>
      <c r="K38" s="1"/>
      <c r="L38" s="32"/>
    </row>
    <row r="39" spans="2:13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4086401.3599999994</v>
      </c>
      <c r="H39" s="41">
        <f t="shared" si="9"/>
        <v>-59.847045277853553</v>
      </c>
      <c r="I39" s="23">
        <f t="shared" si="8"/>
        <v>10177087.560000001</v>
      </c>
      <c r="J39" s="10"/>
      <c r="K39" s="1"/>
      <c r="L39" s="32"/>
    </row>
    <row r="40" spans="2:13" x14ac:dyDescent="0.3">
      <c r="B40" s="33">
        <v>35</v>
      </c>
      <c r="C40" s="67" t="s">
        <v>86</v>
      </c>
      <c r="D40" s="23">
        <v>10980</v>
      </c>
      <c r="E40" s="23">
        <v>0</v>
      </c>
      <c r="F40" s="40">
        <f>+E40+D40</f>
        <v>10980</v>
      </c>
      <c r="G40" s="40">
        <f>+G39+F40</f>
        <v>4097381.3599999994</v>
      </c>
      <c r="H40" s="41">
        <f t="shared" si="9"/>
        <v>-59.739155865138308</v>
      </c>
      <c r="I40" s="23">
        <f t="shared" si="8"/>
        <v>10177087.560000001</v>
      </c>
      <c r="J40" s="10"/>
      <c r="K40" s="1"/>
      <c r="L40" s="32"/>
    </row>
    <row r="41" spans="2:13" hidden="1" x14ac:dyDescent="0.3">
      <c r="B41" s="33">
        <v>36</v>
      </c>
      <c r="C41" s="67"/>
      <c r="D41" s="23"/>
      <c r="E41" s="23"/>
      <c r="F41" s="40"/>
      <c r="G41" s="23"/>
      <c r="H41" s="41"/>
      <c r="I41" s="23"/>
      <c r="J41" s="10"/>
      <c r="K41" s="1"/>
      <c r="L41" s="32"/>
    </row>
    <row r="42" spans="2:13" hidden="1" x14ac:dyDescent="0.3">
      <c r="B42" s="33">
        <v>37</v>
      </c>
      <c r="C42" s="67"/>
      <c r="D42" s="23"/>
      <c r="E42" s="23"/>
      <c r="F42" s="40"/>
      <c r="G42" s="23"/>
      <c r="H42" s="41"/>
      <c r="I42" s="23"/>
      <c r="J42" s="10"/>
      <c r="K42" s="1"/>
      <c r="L42" s="32"/>
    </row>
    <row r="43" spans="2:13" hidden="1" x14ac:dyDescent="0.3">
      <c r="B43" s="33">
        <v>38</v>
      </c>
      <c r="C43" s="67"/>
      <c r="D43" s="23"/>
      <c r="E43" s="23"/>
      <c r="F43" s="40"/>
      <c r="G43" s="23"/>
      <c r="H43" s="41"/>
      <c r="I43" s="23"/>
      <c r="J43" s="10"/>
      <c r="K43" s="1"/>
      <c r="L43" s="32"/>
    </row>
    <row r="44" spans="2:13" hidden="1" x14ac:dyDescent="0.3">
      <c r="B44" s="33">
        <v>39</v>
      </c>
      <c r="C44" s="67"/>
      <c r="D44" s="23"/>
      <c r="E44" s="23"/>
      <c r="F44" s="40"/>
      <c r="G44" s="23"/>
      <c r="H44" s="41"/>
      <c r="I44" s="23"/>
      <c r="J44" s="10"/>
      <c r="K44" s="1"/>
      <c r="L44" s="32"/>
    </row>
    <row r="45" spans="2:13" hidden="1" x14ac:dyDescent="0.3">
      <c r="B45" s="33">
        <v>40</v>
      </c>
      <c r="C45" s="67"/>
      <c r="D45" s="23"/>
      <c r="E45" s="23"/>
      <c r="F45" s="40"/>
      <c r="G45" s="23"/>
      <c r="H45" s="41"/>
      <c r="I45" s="23"/>
      <c r="J45" s="10"/>
      <c r="K45" s="1"/>
      <c r="L45" s="32"/>
    </row>
    <row r="46" spans="2:13" x14ac:dyDescent="0.3">
      <c r="B46" s="5"/>
      <c r="C46" s="5"/>
      <c r="D46" s="6"/>
      <c r="E46" s="6"/>
      <c r="F46" s="6"/>
      <c r="G46" s="6"/>
      <c r="H46" s="7"/>
      <c r="I46" s="6"/>
      <c r="J46" s="5"/>
      <c r="K46" s="1"/>
      <c r="L46" s="30"/>
    </row>
    <row r="47" spans="2:13" x14ac:dyDescent="0.3">
      <c r="B47" s="8" t="s">
        <v>27</v>
      </c>
      <c r="C47" s="5"/>
      <c r="D47" s="5"/>
      <c r="E47" s="5"/>
      <c r="F47" s="5"/>
      <c r="G47" s="5"/>
      <c r="H47" s="5"/>
      <c r="I47" s="5"/>
      <c r="J47" s="5"/>
      <c r="K47" s="1"/>
    </row>
    <row r="48" spans="2:13" x14ac:dyDescent="0.3">
      <c r="B48" s="9" t="s">
        <v>28</v>
      </c>
      <c r="C48" s="5"/>
      <c r="D48" s="5"/>
      <c r="E48" s="5"/>
      <c r="F48" s="5"/>
      <c r="G48" s="5"/>
      <c r="H48" s="5"/>
      <c r="I48" s="5"/>
      <c r="J48" s="5"/>
      <c r="K48" s="1"/>
    </row>
    <row r="49" spans="2:12" x14ac:dyDescent="0.3">
      <c r="B49" s="9" t="s">
        <v>29</v>
      </c>
      <c r="C49" s="5"/>
      <c r="D49" s="5"/>
      <c r="E49" s="5"/>
      <c r="F49" s="5"/>
      <c r="G49" s="5"/>
      <c r="H49" s="5"/>
      <c r="I49" s="5"/>
      <c r="J49" s="5"/>
      <c r="K49" s="1"/>
      <c r="L49" s="30"/>
    </row>
    <row r="50" spans="2:12" x14ac:dyDescent="0.3">
      <c r="B50" s="9" t="s">
        <v>30</v>
      </c>
      <c r="C50" s="5"/>
      <c r="D50" s="5"/>
      <c r="E50" s="5"/>
      <c r="F50" s="5"/>
      <c r="G50" s="5"/>
      <c r="H50" s="5"/>
      <c r="I50" s="5"/>
      <c r="J50" s="5"/>
      <c r="K50" s="1"/>
    </row>
    <row r="51" spans="2:12" x14ac:dyDescent="0.3">
      <c r="B51" s="9"/>
      <c r="C51" s="5"/>
      <c r="D51" s="5"/>
      <c r="E51" s="5"/>
      <c r="F51" s="5"/>
      <c r="G51" s="5"/>
      <c r="H51" s="5"/>
      <c r="I51" s="5"/>
      <c r="J51" s="5"/>
      <c r="K51" s="1"/>
    </row>
    <row r="52" spans="2:12" x14ac:dyDescent="0.3">
      <c r="B52" s="9"/>
      <c r="C52" s="5"/>
      <c r="D52" s="5"/>
      <c r="E52" s="5"/>
      <c r="F52" s="5"/>
      <c r="G52" s="5"/>
      <c r="H52" s="5"/>
      <c r="I52" s="5"/>
      <c r="J52" s="5"/>
      <c r="K52" s="1"/>
    </row>
    <row r="53" spans="2:12" ht="18" x14ac:dyDescent="0.35">
      <c r="B53" s="10"/>
      <c r="C53" s="10"/>
      <c r="D53" s="135" t="s">
        <v>31</v>
      </c>
      <c r="E53" s="135"/>
      <c r="F53" s="135"/>
      <c r="G53" s="135"/>
      <c r="H53" s="135"/>
      <c r="I53" s="135"/>
      <c r="J53" s="10"/>
    </row>
    <row r="54" spans="2:12" s="28" customFormat="1" ht="15.6" x14ac:dyDescent="0.3">
      <c r="B54" s="24"/>
      <c r="C54" s="24"/>
      <c r="D54" s="136" t="s">
        <v>37</v>
      </c>
      <c r="E54" s="136"/>
      <c r="F54" s="136"/>
      <c r="G54" s="136"/>
      <c r="H54" s="136"/>
      <c r="I54" s="136"/>
      <c r="J54" s="24"/>
    </row>
    <row r="55" spans="2:12" ht="15.9" customHeight="1" x14ac:dyDescent="0.3">
      <c r="B55" s="132" t="s">
        <v>88</v>
      </c>
      <c r="C55" s="132"/>
      <c r="D55" s="132"/>
      <c r="E55" s="132"/>
      <c r="F55" s="132"/>
      <c r="G55" s="132"/>
      <c r="H55" s="132"/>
      <c r="I55" s="132"/>
      <c r="J55" s="132"/>
    </row>
    <row r="56" spans="2:12" ht="14.4" customHeight="1" x14ac:dyDescent="0.3">
      <c r="B56" s="14"/>
      <c r="C56" s="15"/>
      <c r="D56" s="128" t="s">
        <v>6</v>
      </c>
      <c r="E56" s="129"/>
      <c r="F56" s="129"/>
      <c r="G56" s="130"/>
      <c r="H56" s="120" t="s">
        <v>7</v>
      </c>
      <c r="I56" s="121"/>
      <c r="J56" s="4"/>
    </row>
    <row r="57" spans="2:12" x14ac:dyDescent="0.3">
      <c r="B57" s="12"/>
      <c r="C57" s="13"/>
      <c r="D57" s="124" t="s">
        <v>9</v>
      </c>
      <c r="E57" s="125"/>
      <c r="F57" s="125"/>
      <c r="G57" s="126"/>
      <c r="H57" s="122"/>
      <c r="I57" s="123"/>
      <c r="J57" s="4"/>
    </row>
    <row r="58" spans="2:12" ht="14.4" customHeight="1" x14ac:dyDescent="0.3">
      <c r="B58" s="111" t="s">
        <v>10</v>
      </c>
      <c r="C58" s="113" t="s">
        <v>11</v>
      </c>
      <c r="D58" s="16" t="s">
        <v>12</v>
      </c>
      <c r="E58" s="16" t="s">
        <v>13</v>
      </c>
      <c r="F58" s="16" t="s">
        <v>14</v>
      </c>
      <c r="G58" s="16" t="s">
        <v>15</v>
      </c>
      <c r="H58" s="115" t="s">
        <v>16</v>
      </c>
      <c r="I58" s="113" t="s">
        <v>17</v>
      </c>
      <c r="J58" s="17"/>
    </row>
    <row r="59" spans="2:12" ht="40.65" customHeight="1" x14ac:dyDescent="0.3">
      <c r="B59" s="112"/>
      <c r="C59" s="114"/>
      <c r="D59" s="117" t="s">
        <v>20</v>
      </c>
      <c r="E59" s="118"/>
      <c r="F59" s="118"/>
      <c r="G59" s="119"/>
      <c r="H59" s="116"/>
      <c r="I59" s="114"/>
      <c r="J59" s="17"/>
    </row>
    <row r="60" spans="2:12" x14ac:dyDescent="0.3">
      <c r="B60" s="33">
        <v>4</v>
      </c>
      <c r="C60" s="31" t="s">
        <v>21</v>
      </c>
      <c r="D60" s="18">
        <v>280686</v>
      </c>
      <c r="E60" s="18">
        <v>0</v>
      </c>
      <c r="F60" s="36">
        <f>+D60+E60</f>
        <v>280686</v>
      </c>
      <c r="G60" s="18">
        <f>+F60</f>
        <v>280686</v>
      </c>
      <c r="H60" s="37">
        <f t="shared" ref="H60:H84" si="10">((G60-I60)/I60)*100</f>
        <v>73.341073446676589</v>
      </c>
      <c r="I60" s="18">
        <v>161927</v>
      </c>
      <c r="J60" s="19"/>
    </row>
    <row r="61" spans="2:12" x14ac:dyDescent="0.3">
      <c r="B61" s="33">
        <v>5</v>
      </c>
      <c r="C61" s="31" t="s">
        <v>22</v>
      </c>
      <c r="D61" s="23">
        <v>661021.81000000006</v>
      </c>
      <c r="E61" s="23">
        <v>0</v>
      </c>
      <c r="F61" s="40">
        <f>+E61+D61</f>
        <v>661021.81000000006</v>
      </c>
      <c r="G61" s="23">
        <f>+G60+F61</f>
        <v>941707.81</v>
      </c>
      <c r="H61" s="41">
        <f t="shared" si="10"/>
        <v>-24.612211015371901</v>
      </c>
      <c r="I61" s="23">
        <v>1249151.6499999999</v>
      </c>
      <c r="J61" s="19"/>
    </row>
    <row r="62" spans="2:12" x14ac:dyDescent="0.3">
      <c r="B62" s="33">
        <v>6</v>
      </c>
      <c r="C62" s="31" t="s">
        <v>23</v>
      </c>
      <c r="D62" s="23">
        <f>604039.5+79989</f>
        <v>684028.5</v>
      </c>
      <c r="E62" s="23">
        <v>-79989</v>
      </c>
      <c r="F62" s="40">
        <f>+E62+D62</f>
        <v>604039.5</v>
      </c>
      <c r="G62" s="23">
        <f t="shared" ref="G62" si="11">+G61+F62</f>
        <v>1545747.31</v>
      </c>
      <c r="H62" s="41">
        <f t="shared" si="10"/>
        <v>-30.35193607558675</v>
      </c>
      <c r="I62" s="23">
        <f>+I61+970217.02</f>
        <v>2219368.67</v>
      </c>
      <c r="J62" s="19"/>
    </row>
    <row r="63" spans="2:12" x14ac:dyDescent="0.3">
      <c r="B63" s="33">
        <v>7</v>
      </c>
      <c r="C63" s="31" t="s">
        <v>24</v>
      </c>
      <c r="D63" s="23">
        <v>105227.5</v>
      </c>
      <c r="E63" s="23">
        <v>214273</v>
      </c>
      <c r="F63" s="40">
        <f t="shared" ref="F63:F75" si="12">+E63+D63</f>
        <v>319500.5</v>
      </c>
      <c r="G63" s="23">
        <f>+G62+F63</f>
        <v>1865247.81</v>
      </c>
      <c r="H63" s="41">
        <f t="shared" si="10"/>
        <v>-40.178441927866878</v>
      </c>
      <c r="I63" s="23">
        <f>+I62+898650.77</f>
        <v>3118019.44</v>
      </c>
      <c r="J63" s="19"/>
    </row>
    <row r="64" spans="2:12" x14ac:dyDescent="0.3">
      <c r="B64" s="33">
        <v>8</v>
      </c>
      <c r="C64" s="31" t="s">
        <v>25</v>
      </c>
      <c r="D64" s="23">
        <v>305410.52</v>
      </c>
      <c r="E64" s="23">
        <v>0</v>
      </c>
      <c r="F64" s="40">
        <f t="shared" si="12"/>
        <v>305410.52</v>
      </c>
      <c r="G64" s="23">
        <f t="shared" ref="G64:G75" si="13">+G63+F64</f>
        <v>2170658.33</v>
      </c>
      <c r="H64" s="41">
        <f t="shared" si="10"/>
        <v>-47.550412760345417</v>
      </c>
      <c r="I64" s="23">
        <f>+I63+1020541.88</f>
        <v>4138561.32</v>
      </c>
      <c r="J64" s="19"/>
    </row>
    <row r="65" spans="2:10" x14ac:dyDescent="0.3">
      <c r="B65" s="33">
        <v>9</v>
      </c>
      <c r="C65" s="31" t="s">
        <v>26</v>
      </c>
      <c r="D65" s="23">
        <v>147250.5</v>
      </c>
      <c r="E65" s="23">
        <v>0</v>
      </c>
      <c r="F65" s="40">
        <f t="shared" si="12"/>
        <v>147250.5</v>
      </c>
      <c r="G65" s="23">
        <f t="shared" si="13"/>
        <v>2317908.83</v>
      </c>
      <c r="H65" s="41">
        <f t="shared" si="10"/>
        <v>-51.550789991887378</v>
      </c>
      <c r="I65" s="23">
        <f>+I64+645642.24</f>
        <v>4784203.5599999996</v>
      </c>
      <c r="J65" s="19"/>
    </row>
    <row r="66" spans="2:10" x14ac:dyDescent="0.3">
      <c r="B66" s="33">
        <v>10</v>
      </c>
      <c r="C66" s="31" t="s">
        <v>55</v>
      </c>
      <c r="D66" s="23">
        <v>511962.51</v>
      </c>
      <c r="E66" s="23">
        <v>0</v>
      </c>
      <c r="F66" s="40">
        <f t="shared" si="12"/>
        <v>511962.51</v>
      </c>
      <c r="G66" s="23">
        <f t="shared" si="13"/>
        <v>2829871.34</v>
      </c>
      <c r="H66" s="41">
        <f t="shared" si="10"/>
        <v>-56.476950197618002</v>
      </c>
      <c r="I66" s="23">
        <f>+I65+1717802.51</f>
        <v>6502006.0699999994</v>
      </c>
      <c r="J66" s="19"/>
    </row>
    <row r="67" spans="2:10" x14ac:dyDescent="0.3">
      <c r="B67" s="33">
        <v>11</v>
      </c>
      <c r="C67" s="31" t="s">
        <v>56</v>
      </c>
      <c r="D67" s="23">
        <v>269143</v>
      </c>
      <c r="E67" s="23">
        <v>0</v>
      </c>
      <c r="F67" s="40">
        <f t="shared" si="12"/>
        <v>269143</v>
      </c>
      <c r="G67" s="23">
        <f t="shared" si="13"/>
        <v>3099014.34</v>
      </c>
      <c r="H67" s="41">
        <f t="shared" si="10"/>
        <v>-56.658053309290423</v>
      </c>
      <c r="I67" s="23">
        <f>+I66+648144.25</f>
        <v>7150150.3199999994</v>
      </c>
      <c r="J67" s="19"/>
    </row>
    <row r="68" spans="2:10" x14ac:dyDescent="0.3">
      <c r="B68" s="33">
        <v>12</v>
      </c>
      <c r="C68" s="31" t="s">
        <v>71</v>
      </c>
      <c r="D68" s="23">
        <v>374984.52</v>
      </c>
      <c r="E68" s="23">
        <v>0</v>
      </c>
      <c r="F68" s="40">
        <f t="shared" si="12"/>
        <v>374984.52</v>
      </c>
      <c r="G68" s="23">
        <f t="shared" si="13"/>
        <v>3473998.86</v>
      </c>
      <c r="H68" s="41">
        <f t="shared" si="10"/>
        <v>-55.8234977860374</v>
      </c>
      <c r="I68" s="23">
        <f>+I67+713756.25</f>
        <v>7863906.5699999994</v>
      </c>
      <c r="J68" s="19"/>
    </row>
    <row r="69" spans="2:10" x14ac:dyDescent="0.3">
      <c r="B69" s="33">
        <v>13</v>
      </c>
      <c r="C69" s="31" t="s">
        <v>57</v>
      </c>
      <c r="D69" s="23">
        <v>249899.5</v>
      </c>
      <c r="E69" s="23">
        <v>0</v>
      </c>
      <c r="F69" s="40">
        <f t="shared" si="12"/>
        <v>249899.5</v>
      </c>
      <c r="G69" s="23">
        <f t="shared" si="13"/>
        <v>3723898.36</v>
      </c>
      <c r="H69" s="41">
        <f t="shared" si="10"/>
        <v>-56.216023746151635</v>
      </c>
      <c r="I69" s="23">
        <v>8505162.5700000003</v>
      </c>
      <c r="J69" s="19"/>
    </row>
    <row r="70" spans="2:10" x14ac:dyDescent="0.3">
      <c r="B70" s="33">
        <v>14</v>
      </c>
      <c r="C70" s="49" t="s">
        <v>58</v>
      </c>
      <c r="D70" s="23">
        <v>42124</v>
      </c>
      <c r="E70" s="23">
        <v>1829</v>
      </c>
      <c r="F70" s="40">
        <f t="shared" si="12"/>
        <v>43953</v>
      </c>
      <c r="G70" s="23">
        <f t="shared" si="13"/>
        <v>3767851.36</v>
      </c>
      <c r="H70" s="41">
        <f t="shared" si="10"/>
        <v>-58.783374253241348</v>
      </c>
      <c r="I70" s="23">
        <f>+I69+636418.75</f>
        <v>9141581.3200000003</v>
      </c>
      <c r="J70" s="19"/>
    </row>
    <row r="71" spans="2:10" x14ac:dyDescent="0.3">
      <c r="B71" s="33">
        <v>15</v>
      </c>
      <c r="C71" s="31" t="s">
        <v>59</v>
      </c>
      <c r="D71" s="23">
        <v>10807</v>
      </c>
      <c r="E71" s="23">
        <v>0</v>
      </c>
      <c r="F71" s="40">
        <f t="shared" si="12"/>
        <v>10807</v>
      </c>
      <c r="G71" s="23">
        <f t="shared" si="13"/>
        <v>3778658.36</v>
      </c>
      <c r="H71" s="41">
        <f t="shared" si="10"/>
        <v>-59.605855492044171</v>
      </c>
      <c r="I71" s="23">
        <f>+I70+212889.25</f>
        <v>9354470.5700000003</v>
      </c>
      <c r="J71" s="19"/>
    </row>
    <row r="72" spans="2:10" x14ac:dyDescent="0.3">
      <c r="B72" s="33">
        <v>16</v>
      </c>
      <c r="C72" s="31" t="s">
        <v>60</v>
      </c>
      <c r="D72" s="23">
        <v>154714</v>
      </c>
      <c r="E72" s="23">
        <v>0</v>
      </c>
      <c r="F72" s="40">
        <f t="shared" si="12"/>
        <v>154714</v>
      </c>
      <c r="G72" s="23">
        <f t="shared" si="13"/>
        <v>3933372.36</v>
      </c>
      <c r="H72" s="41">
        <f t="shared" si="10"/>
        <v>-59.418036355308516</v>
      </c>
      <c r="I72" s="23">
        <v>9692415.0700000003</v>
      </c>
      <c r="J72" s="19"/>
    </row>
    <row r="73" spans="2:10" x14ac:dyDescent="0.3">
      <c r="B73" s="33">
        <v>17</v>
      </c>
      <c r="C73" s="31" t="s">
        <v>61</v>
      </c>
      <c r="D73" s="23">
        <v>6027</v>
      </c>
      <c r="E73" s="23">
        <v>18913.5</v>
      </c>
      <c r="F73" s="40">
        <f t="shared" si="12"/>
        <v>24940.5</v>
      </c>
      <c r="G73" s="23">
        <f t="shared" si="13"/>
        <v>3958312.86</v>
      </c>
      <c r="H73" s="41">
        <f t="shared" si="10"/>
        <v>-59.755661219988667</v>
      </c>
      <c r="I73" s="23">
        <v>9835701.0700000003</v>
      </c>
      <c r="J73" s="19"/>
    </row>
    <row r="74" spans="2:10" x14ac:dyDescent="0.3">
      <c r="B74" s="33">
        <v>18</v>
      </c>
      <c r="C74" s="31" t="s">
        <v>62</v>
      </c>
      <c r="D74" s="23">
        <v>21416.5</v>
      </c>
      <c r="E74" s="23">
        <v>0</v>
      </c>
      <c r="F74" s="40">
        <f t="shared" si="12"/>
        <v>21416.5</v>
      </c>
      <c r="G74" s="23">
        <f t="shared" si="13"/>
        <v>3979729.36</v>
      </c>
      <c r="H74" s="41">
        <f t="shared" si="10"/>
        <v>-60.340355389150623</v>
      </c>
      <c r="I74" s="23">
        <f>+I73+199006.5</f>
        <v>10034707.57</v>
      </c>
      <c r="J74" s="19"/>
    </row>
    <row r="75" spans="2:10" x14ac:dyDescent="0.3">
      <c r="B75" s="33">
        <v>19</v>
      </c>
      <c r="C75" s="31" t="s">
        <v>63</v>
      </c>
      <c r="D75" s="23">
        <v>2458</v>
      </c>
      <c r="E75" s="23">
        <v>0</v>
      </c>
      <c r="F75" s="40">
        <f t="shared" si="12"/>
        <v>2458</v>
      </c>
      <c r="G75" s="23">
        <f t="shared" si="13"/>
        <v>3982187.36</v>
      </c>
      <c r="H75" s="41">
        <f t="shared" si="10"/>
        <v>-60.655976561281364</v>
      </c>
      <c r="I75" s="23">
        <f>+I74+86746.75</f>
        <v>10121454.32</v>
      </c>
      <c r="J75" s="19"/>
    </row>
    <row r="76" spans="2:10" x14ac:dyDescent="0.3">
      <c r="B76" s="33">
        <v>20</v>
      </c>
      <c r="C76" s="31" t="s">
        <v>64</v>
      </c>
      <c r="D76" s="23">
        <v>15988</v>
      </c>
      <c r="E76" s="23">
        <v>0</v>
      </c>
      <c r="F76" s="40">
        <f t="shared" ref="F76:F84" si="14">+E76+D76</f>
        <v>15988</v>
      </c>
      <c r="G76" s="23">
        <f t="shared" ref="G76:G84" si="15">+G75+F76</f>
        <v>3998175.36</v>
      </c>
      <c r="H76" s="41">
        <f t="shared" si="10"/>
        <v>-60.659881064706553</v>
      </c>
      <c r="I76" s="23">
        <f>+I75+41645</f>
        <v>10163099.32</v>
      </c>
      <c r="J76" s="19"/>
    </row>
    <row r="77" spans="2:10" x14ac:dyDescent="0.3">
      <c r="B77" s="33">
        <v>21</v>
      </c>
      <c r="C77" s="31" t="s">
        <v>65</v>
      </c>
      <c r="D77" s="23">
        <v>0</v>
      </c>
      <c r="E77" s="23">
        <v>0</v>
      </c>
      <c r="F77" s="40">
        <f t="shared" si="14"/>
        <v>0</v>
      </c>
      <c r="G77" s="23">
        <f t="shared" si="15"/>
        <v>3998175.36</v>
      </c>
      <c r="H77" s="41">
        <f t="shared" si="10"/>
        <v>-60.680005137770898</v>
      </c>
      <c r="I77" s="23">
        <f>+I76+5201.5</f>
        <v>10168300.82</v>
      </c>
      <c r="J77" s="19"/>
    </row>
    <row r="78" spans="2:10" x14ac:dyDescent="0.3">
      <c r="B78" s="33">
        <v>22</v>
      </c>
      <c r="C78" s="31" t="s">
        <v>66</v>
      </c>
      <c r="D78" s="23">
        <v>15319</v>
      </c>
      <c r="E78" s="23">
        <v>0</v>
      </c>
      <c r="F78" s="40">
        <f t="shared" si="14"/>
        <v>15319</v>
      </c>
      <c r="G78" s="23">
        <f t="shared" si="15"/>
        <v>4013494.36</v>
      </c>
      <c r="H78" s="41">
        <f t="shared" si="10"/>
        <v>-60.530623095437022</v>
      </c>
      <c r="I78" s="23">
        <f>+I77+327.81</f>
        <v>10168628.630000001</v>
      </c>
      <c r="J78" s="19"/>
    </row>
    <row r="79" spans="2:10" x14ac:dyDescent="0.3">
      <c r="B79" s="33">
        <v>23</v>
      </c>
      <c r="C79" s="31" t="s">
        <v>76</v>
      </c>
      <c r="D79" s="23">
        <v>7083.5</v>
      </c>
      <c r="E79" s="23">
        <v>0</v>
      </c>
      <c r="F79" s="40">
        <f t="shared" si="14"/>
        <v>7083.5</v>
      </c>
      <c r="G79" s="23">
        <f t="shared" si="15"/>
        <v>4020577.86</v>
      </c>
      <c r="H79" s="41">
        <f t="shared" si="10"/>
        <v>-60.467136480258056</v>
      </c>
      <c r="I79" s="23">
        <f>+I78+1588</f>
        <v>10170216.630000001</v>
      </c>
      <c r="J79" s="19"/>
    </row>
    <row r="80" spans="2:10" x14ac:dyDescent="0.3">
      <c r="B80" s="33">
        <v>24</v>
      </c>
      <c r="C80" s="31" t="s">
        <v>68</v>
      </c>
      <c r="D80" s="23">
        <v>0</v>
      </c>
      <c r="E80" s="23">
        <v>0</v>
      </c>
      <c r="F80" s="40">
        <f t="shared" si="14"/>
        <v>0</v>
      </c>
      <c r="G80" s="23">
        <f t="shared" si="15"/>
        <v>4020577.86</v>
      </c>
      <c r="H80" s="41">
        <f t="shared" si="10"/>
        <v>-60.477869521824701</v>
      </c>
      <c r="I80" s="23">
        <f>+I79+2761.93</f>
        <v>10172978.560000001</v>
      </c>
      <c r="J80" s="19"/>
    </row>
    <row r="81" spans="2:10" x14ac:dyDescent="0.3">
      <c r="B81" s="33">
        <v>25</v>
      </c>
      <c r="C81" s="67" t="s">
        <v>69</v>
      </c>
      <c r="D81" s="23">
        <v>4149</v>
      </c>
      <c r="E81" s="23">
        <v>0</v>
      </c>
      <c r="F81" s="40">
        <f t="shared" si="14"/>
        <v>4149</v>
      </c>
      <c r="G81" s="23">
        <f t="shared" si="15"/>
        <v>4024726.86</v>
      </c>
      <c r="H81" s="41">
        <f t="shared" si="10"/>
        <v>-60.437085006497846</v>
      </c>
      <c r="I81" s="23">
        <f>+I80+0</f>
        <v>10172978.560000001</v>
      </c>
      <c r="J81" s="19"/>
    </row>
    <row r="82" spans="2:10" x14ac:dyDescent="0.3">
      <c r="B82" s="33">
        <v>26</v>
      </c>
      <c r="C82" s="67" t="s">
        <v>70</v>
      </c>
      <c r="D82" s="23">
        <v>15308</v>
      </c>
      <c r="E82" s="23">
        <v>0</v>
      </c>
      <c r="F82" s="40">
        <f t="shared" si="14"/>
        <v>15308</v>
      </c>
      <c r="G82" s="23">
        <f t="shared" si="15"/>
        <v>4040034.86</v>
      </c>
      <c r="H82" s="41">
        <f t="shared" si="10"/>
        <v>-60.28660793717431</v>
      </c>
      <c r="I82" s="23">
        <f>+I81+0</f>
        <v>10172978.560000001</v>
      </c>
      <c r="J82" s="19"/>
    </row>
    <row r="83" spans="2:10" x14ac:dyDescent="0.3">
      <c r="B83" s="33">
        <v>27</v>
      </c>
      <c r="C83" s="67" t="s">
        <v>79</v>
      </c>
      <c r="D83" s="23">
        <v>0</v>
      </c>
      <c r="E83" s="23">
        <v>0</v>
      </c>
      <c r="F83" s="40">
        <f t="shared" si="14"/>
        <v>0</v>
      </c>
      <c r="G83" s="23">
        <f t="shared" si="15"/>
        <v>4040034.86</v>
      </c>
      <c r="H83" s="41">
        <f t="shared" si="10"/>
        <v>-60.28660793717431</v>
      </c>
      <c r="I83" s="23">
        <f>+I82+0</f>
        <v>10172978.560000001</v>
      </c>
      <c r="J83" s="19"/>
    </row>
    <row r="84" spans="2:10" x14ac:dyDescent="0.3">
      <c r="B84" s="33">
        <v>28</v>
      </c>
      <c r="C84" s="67" t="s">
        <v>80</v>
      </c>
      <c r="D84" s="23">
        <v>2926</v>
      </c>
      <c r="E84" s="23">
        <v>-11506.5</v>
      </c>
      <c r="F84" s="40">
        <f t="shared" si="14"/>
        <v>-8580.5</v>
      </c>
      <c r="G84" s="23">
        <f t="shared" si="15"/>
        <v>4031454.36</v>
      </c>
      <c r="H84" s="41">
        <f t="shared" si="10"/>
        <v>-60.370953932296509</v>
      </c>
      <c r="I84" s="23">
        <f>+I83+0</f>
        <v>10172978.560000001</v>
      </c>
      <c r="J84" s="19"/>
    </row>
    <row r="85" spans="2:10" x14ac:dyDescent="0.3">
      <c r="B85" s="33">
        <v>29</v>
      </c>
      <c r="C85" s="67" t="s">
        <v>81</v>
      </c>
      <c r="D85" s="23">
        <v>0</v>
      </c>
      <c r="E85" s="23">
        <v>0</v>
      </c>
      <c r="F85" s="40">
        <f t="shared" ref="F85:F89" si="16">+E85+D85</f>
        <v>0</v>
      </c>
      <c r="G85" s="23">
        <f t="shared" ref="G85:G88" si="17">+G84+F85</f>
        <v>4031454.36</v>
      </c>
      <c r="H85" s="41">
        <f t="shared" ref="H85:H91" si="18">((G85-I85)/I85)*100</f>
        <v>-60.370953932296509</v>
      </c>
      <c r="I85" s="23">
        <f t="shared" ref="I85:I91" si="19">+I84+0</f>
        <v>10172978.560000001</v>
      </c>
      <c r="J85" s="19"/>
    </row>
    <row r="86" spans="2:10" x14ac:dyDescent="0.3">
      <c r="B86" s="33">
        <v>30</v>
      </c>
      <c r="C86" s="67" t="s">
        <v>82</v>
      </c>
      <c r="D86" s="23">
        <v>0</v>
      </c>
      <c r="E86" s="23">
        <v>0</v>
      </c>
      <c r="F86" s="40">
        <f t="shared" si="16"/>
        <v>0</v>
      </c>
      <c r="G86" s="23">
        <f t="shared" si="17"/>
        <v>4031454.36</v>
      </c>
      <c r="H86" s="41">
        <f t="shared" si="18"/>
        <v>-60.370953932296509</v>
      </c>
      <c r="I86" s="23">
        <f t="shared" si="19"/>
        <v>10172978.560000001</v>
      </c>
      <c r="J86" s="19"/>
    </row>
    <row r="87" spans="2:10" x14ac:dyDescent="0.3">
      <c r="B87" s="33">
        <v>31</v>
      </c>
      <c r="C87" s="67" t="s">
        <v>83</v>
      </c>
      <c r="D87" s="23">
        <v>29858.5</v>
      </c>
      <c r="E87" s="23">
        <v>0</v>
      </c>
      <c r="F87" s="40">
        <f t="shared" si="16"/>
        <v>29858.5</v>
      </c>
      <c r="G87" s="23">
        <f t="shared" si="17"/>
        <v>4061312.86</v>
      </c>
      <c r="H87" s="41">
        <f t="shared" si="18"/>
        <v>-60.077445990410119</v>
      </c>
      <c r="I87" s="23">
        <f t="shared" si="19"/>
        <v>10172978.560000001</v>
      </c>
      <c r="J87" s="19"/>
    </row>
    <row r="88" spans="2:10" x14ac:dyDescent="0.3">
      <c r="B88" s="33">
        <v>32</v>
      </c>
      <c r="C88" s="67" t="s">
        <v>84</v>
      </c>
      <c r="D88" s="23">
        <v>0</v>
      </c>
      <c r="E88" s="23">
        <v>0</v>
      </c>
      <c r="F88" s="40">
        <f t="shared" si="16"/>
        <v>0</v>
      </c>
      <c r="G88" s="23">
        <f t="shared" si="17"/>
        <v>4061312.86</v>
      </c>
      <c r="H88" s="41">
        <f t="shared" si="18"/>
        <v>-60.077445990410119</v>
      </c>
      <c r="I88" s="23">
        <f t="shared" si="19"/>
        <v>10172978.560000001</v>
      </c>
      <c r="J88" s="19"/>
    </row>
    <row r="89" spans="2:10" x14ac:dyDescent="0.3">
      <c r="B89" s="33">
        <v>33</v>
      </c>
      <c r="C89" s="67" t="s">
        <v>85</v>
      </c>
      <c r="D89" s="23">
        <v>0</v>
      </c>
      <c r="E89" s="23">
        <v>415.5</v>
      </c>
      <c r="F89" s="40">
        <f t="shared" si="16"/>
        <v>415.5</v>
      </c>
      <c r="G89" s="23">
        <f>+G88+F89</f>
        <v>4061728.36</v>
      </c>
      <c r="H89" s="41">
        <f t="shared" si="18"/>
        <v>-60.073361640899805</v>
      </c>
      <c r="I89" s="23">
        <f t="shared" si="19"/>
        <v>10172978.560000001</v>
      </c>
      <c r="J89" s="19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4061728.36</v>
      </c>
      <c r="H90" s="41">
        <f t="shared" si="18"/>
        <v>-60.073361640899805</v>
      </c>
      <c r="I90" s="23">
        <f t="shared" si="19"/>
        <v>10172978.560000001</v>
      </c>
      <c r="J90" s="19"/>
    </row>
    <row r="91" spans="2:10" x14ac:dyDescent="0.3">
      <c r="B91" s="33">
        <v>35</v>
      </c>
      <c r="C91" s="67" t="s">
        <v>86</v>
      </c>
      <c r="D91" s="23">
        <v>10980</v>
      </c>
      <c r="E91" s="23">
        <v>0</v>
      </c>
      <c r="F91" s="40">
        <f>+E91+D91</f>
        <v>10980</v>
      </c>
      <c r="G91" s="40">
        <f>+G90+F91</f>
        <v>4072708.36</v>
      </c>
      <c r="H91" s="41">
        <f t="shared" si="18"/>
        <v>-59.965428650230059</v>
      </c>
      <c r="I91" s="23">
        <f t="shared" si="19"/>
        <v>10172978.560000001</v>
      </c>
      <c r="J91" s="19"/>
    </row>
    <row r="92" spans="2:10" hidden="1" x14ac:dyDescent="0.3">
      <c r="B92" s="33">
        <v>36</v>
      </c>
      <c r="C92" s="67"/>
      <c r="D92" s="23"/>
      <c r="E92" s="23"/>
      <c r="F92" s="40"/>
      <c r="G92" s="23"/>
      <c r="H92" s="41"/>
      <c r="I92" s="23"/>
      <c r="J92" s="19"/>
    </row>
    <row r="93" spans="2:10" hidden="1" x14ac:dyDescent="0.3">
      <c r="B93" s="33">
        <v>37</v>
      </c>
      <c r="C93" s="67"/>
      <c r="D93" s="23"/>
      <c r="E93" s="23"/>
      <c r="F93" s="40"/>
      <c r="G93" s="23"/>
      <c r="H93" s="41"/>
      <c r="I93" s="23"/>
      <c r="J93" s="19"/>
    </row>
    <row r="94" spans="2:10" hidden="1" x14ac:dyDescent="0.3">
      <c r="B94" s="33">
        <v>38</v>
      </c>
      <c r="C94" s="67"/>
      <c r="D94" s="23"/>
      <c r="E94" s="23"/>
      <c r="F94" s="40"/>
      <c r="G94" s="23"/>
      <c r="H94" s="41"/>
      <c r="I94" s="23"/>
      <c r="J94" s="19"/>
    </row>
    <row r="95" spans="2:10" hidden="1" x14ac:dyDescent="0.3">
      <c r="B95" s="33">
        <v>39</v>
      </c>
      <c r="C95" s="67"/>
      <c r="D95" s="23"/>
      <c r="E95" s="23"/>
      <c r="F95" s="40"/>
      <c r="G95" s="23"/>
      <c r="H95" s="41"/>
      <c r="I95" s="23"/>
      <c r="J95" s="19"/>
    </row>
    <row r="96" spans="2:10" hidden="1" x14ac:dyDescent="0.3">
      <c r="B96" s="33">
        <v>40</v>
      </c>
      <c r="C96" s="67"/>
      <c r="D96" s="23"/>
      <c r="E96" s="23"/>
      <c r="F96" s="40"/>
      <c r="G96" s="23"/>
      <c r="H96" s="41"/>
      <c r="I96" s="23"/>
      <c r="J96" s="19"/>
    </row>
    <row r="97" spans="2:10" ht="16.2" customHeight="1" x14ac:dyDescent="0.3">
      <c r="B97" s="5"/>
      <c r="C97" s="5"/>
      <c r="D97" s="6"/>
      <c r="E97" s="6"/>
      <c r="F97" s="6"/>
      <c r="G97" s="6"/>
      <c r="H97" s="7"/>
      <c r="I97" s="6"/>
      <c r="J97" s="5"/>
    </row>
    <row r="98" spans="2:10" x14ac:dyDescent="0.3">
      <c r="B98" s="8" t="s">
        <v>27</v>
      </c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9" t="s">
        <v>28</v>
      </c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9" t="s">
        <v>29</v>
      </c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9" t="s">
        <v>30</v>
      </c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ht="18" x14ac:dyDescent="0.35">
      <c r="B104" s="10"/>
      <c r="C104" s="10"/>
      <c r="D104" s="133" t="s">
        <v>33</v>
      </c>
      <c r="E104" s="133"/>
      <c r="F104" s="133"/>
      <c r="G104" s="133"/>
      <c r="H104" s="133"/>
      <c r="I104" s="133"/>
      <c r="J104" s="10"/>
    </row>
    <row r="105" spans="2:10" s="28" customFormat="1" ht="15.6" x14ac:dyDescent="0.3">
      <c r="B105" s="24"/>
      <c r="C105" s="24"/>
      <c r="D105" s="134" t="s">
        <v>37</v>
      </c>
      <c r="E105" s="134"/>
      <c r="F105" s="134"/>
      <c r="G105" s="134"/>
      <c r="H105" s="134"/>
      <c r="I105" s="134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28" t="s">
        <v>6</v>
      </c>
      <c r="E107" s="129"/>
      <c r="F107" s="129"/>
      <c r="G107" s="130"/>
      <c r="H107" s="120" t="s">
        <v>7</v>
      </c>
      <c r="I107" s="121"/>
      <c r="J107" s="4"/>
    </row>
    <row r="108" spans="2:10" x14ac:dyDescent="0.3">
      <c r="B108" s="12"/>
      <c r="C108" s="13"/>
      <c r="D108" s="124" t="s">
        <v>9</v>
      </c>
      <c r="E108" s="125"/>
      <c r="F108" s="125"/>
      <c r="G108" s="126"/>
      <c r="H108" s="122"/>
      <c r="I108" s="123"/>
      <c r="J108" s="4"/>
    </row>
    <row r="109" spans="2:10" ht="14.4" customHeight="1" x14ac:dyDescent="0.3">
      <c r="B109" s="111" t="s">
        <v>10</v>
      </c>
      <c r="C109" s="113" t="s">
        <v>11</v>
      </c>
      <c r="D109" s="16" t="s">
        <v>12</v>
      </c>
      <c r="E109" s="16" t="s">
        <v>13</v>
      </c>
      <c r="F109" s="16" t="s">
        <v>14</v>
      </c>
      <c r="G109" s="16" t="s">
        <v>15</v>
      </c>
      <c r="H109" s="115" t="s">
        <v>16</v>
      </c>
      <c r="I109" s="113" t="s">
        <v>17</v>
      </c>
      <c r="J109" s="17"/>
    </row>
    <row r="110" spans="2:10" ht="38.4" customHeight="1" x14ac:dyDescent="0.3">
      <c r="B110" s="112"/>
      <c r="C110" s="114"/>
      <c r="D110" s="117" t="s">
        <v>20</v>
      </c>
      <c r="E110" s="118"/>
      <c r="F110" s="118"/>
      <c r="G110" s="119"/>
      <c r="H110" s="116"/>
      <c r="I110" s="114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e">
        <f t="shared" ref="H111:H126" si="20">((G111-I111)/I111)*100</f>
        <v>#DIV/0!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0</v>
      </c>
      <c r="E112" s="23">
        <v>0</v>
      </c>
      <c r="F112" s="40">
        <f>+E112+D112</f>
        <v>0</v>
      </c>
      <c r="G112" s="23">
        <f>+G111+F112</f>
        <v>0</v>
      </c>
      <c r="H112" s="41" t="e">
        <f t="shared" si="20"/>
        <v>#DIV/0!</v>
      </c>
      <c r="I112" s="23">
        <v>0</v>
      </c>
      <c r="J112" s="19"/>
    </row>
    <row r="113" spans="2:10" x14ac:dyDescent="0.3">
      <c r="B113" s="33">
        <v>6</v>
      </c>
      <c r="C113" s="31" t="s">
        <v>23</v>
      </c>
      <c r="D113" s="23">
        <v>0</v>
      </c>
      <c r="E113" s="23">
        <v>0</v>
      </c>
      <c r="F113" s="40">
        <f>+E113+D113</f>
        <v>0</v>
      </c>
      <c r="G113" s="23">
        <f t="shared" ref="G113" si="21">+G112+F113</f>
        <v>0</v>
      </c>
      <c r="H113" s="41" t="e">
        <f t="shared" si="20"/>
        <v>#DIV/0!</v>
      </c>
      <c r="I113" s="23">
        <v>0</v>
      </c>
      <c r="J113" s="19"/>
    </row>
    <row r="114" spans="2:10" x14ac:dyDescent="0.3">
      <c r="B114" s="33">
        <v>7</v>
      </c>
      <c r="C114" s="31" t="s">
        <v>24</v>
      </c>
      <c r="D114" s="23">
        <v>1122</v>
      </c>
      <c r="E114" s="23">
        <v>161862</v>
      </c>
      <c r="F114" s="40">
        <f t="shared" ref="F114:F125" si="22">+E114+D114</f>
        <v>162984</v>
      </c>
      <c r="G114" s="23">
        <f>+G113+F114</f>
        <v>162984</v>
      </c>
      <c r="H114" s="41" t="e">
        <f t="shared" si="20"/>
        <v>#DIV/0!</v>
      </c>
      <c r="I114" s="23">
        <v>0</v>
      </c>
      <c r="J114" s="19"/>
    </row>
    <row r="115" spans="2:10" x14ac:dyDescent="0.3">
      <c r="B115" s="33">
        <v>8</v>
      </c>
      <c r="C115" s="31" t="s">
        <v>25</v>
      </c>
      <c r="D115" s="23">
        <v>0</v>
      </c>
      <c r="E115" s="23">
        <v>0</v>
      </c>
      <c r="F115" s="40">
        <f t="shared" si="22"/>
        <v>0</v>
      </c>
      <c r="G115" s="23">
        <f t="shared" ref="G115:G126" si="23">+G114+F115</f>
        <v>162984</v>
      </c>
      <c r="H115" s="41" t="e">
        <f t="shared" si="20"/>
        <v>#DIV/0!</v>
      </c>
      <c r="I115" s="23">
        <v>0</v>
      </c>
      <c r="J115" s="19"/>
    </row>
    <row r="116" spans="2:10" x14ac:dyDescent="0.3">
      <c r="B116" s="33">
        <v>9</v>
      </c>
      <c r="C116" s="31" t="s">
        <v>26</v>
      </c>
      <c r="D116" s="21">
        <v>2454</v>
      </c>
      <c r="E116" s="23">
        <v>0</v>
      </c>
      <c r="F116" s="40">
        <f t="shared" si="22"/>
        <v>2454</v>
      </c>
      <c r="G116" s="23">
        <f t="shared" si="23"/>
        <v>165438</v>
      </c>
      <c r="H116" s="41" t="e">
        <f t="shared" si="20"/>
        <v>#DIV/0!</v>
      </c>
      <c r="I116" s="23">
        <v>0</v>
      </c>
      <c r="J116" s="19"/>
    </row>
    <row r="117" spans="2:10" x14ac:dyDescent="0.3">
      <c r="B117" s="33">
        <v>10</v>
      </c>
      <c r="C117" s="31" t="s">
        <v>55</v>
      </c>
      <c r="D117" s="23">
        <v>0</v>
      </c>
      <c r="E117" s="23">
        <v>0</v>
      </c>
      <c r="F117" s="40">
        <f t="shared" si="22"/>
        <v>0</v>
      </c>
      <c r="G117" s="23">
        <f t="shared" si="23"/>
        <v>165438</v>
      </c>
      <c r="H117" s="41" t="e">
        <f t="shared" si="20"/>
        <v>#DIV/0!</v>
      </c>
      <c r="I117" s="23">
        <v>0</v>
      </c>
      <c r="J117" s="19"/>
    </row>
    <row r="118" spans="2:10" x14ac:dyDescent="0.3">
      <c r="B118" s="33">
        <v>11</v>
      </c>
      <c r="C118" s="31" t="s">
        <v>56</v>
      </c>
      <c r="D118" s="23">
        <v>0</v>
      </c>
      <c r="E118" s="23">
        <v>0</v>
      </c>
      <c r="F118" s="40">
        <f t="shared" si="22"/>
        <v>0</v>
      </c>
      <c r="G118" s="23">
        <f t="shared" si="23"/>
        <v>165438</v>
      </c>
      <c r="H118" s="41" t="e">
        <f t="shared" si="20"/>
        <v>#DIV/0!</v>
      </c>
      <c r="I118" s="23">
        <v>0</v>
      </c>
      <c r="J118" s="19"/>
    </row>
    <row r="119" spans="2:10" x14ac:dyDescent="0.3">
      <c r="B119" s="33">
        <v>12</v>
      </c>
      <c r="C119" s="31" t="s">
        <v>71</v>
      </c>
      <c r="D119" s="23">
        <v>0</v>
      </c>
      <c r="E119" s="23">
        <v>0</v>
      </c>
      <c r="F119" s="40">
        <f t="shared" si="22"/>
        <v>0</v>
      </c>
      <c r="G119" s="23">
        <f t="shared" si="23"/>
        <v>165438</v>
      </c>
      <c r="H119" s="41" t="e">
        <f t="shared" si="20"/>
        <v>#DIV/0!</v>
      </c>
      <c r="I119" s="23">
        <v>0</v>
      </c>
      <c r="J119" s="19"/>
    </row>
    <row r="120" spans="2:10" x14ac:dyDescent="0.3">
      <c r="B120" s="33">
        <v>13</v>
      </c>
      <c r="C120" s="31" t="s">
        <v>57</v>
      </c>
      <c r="D120" s="23">
        <v>0</v>
      </c>
      <c r="E120" s="23">
        <v>0</v>
      </c>
      <c r="F120" s="40">
        <f t="shared" si="22"/>
        <v>0</v>
      </c>
      <c r="G120" s="23">
        <f t="shared" si="23"/>
        <v>165438</v>
      </c>
      <c r="H120" s="41" t="e">
        <f t="shared" si="20"/>
        <v>#DIV/0!</v>
      </c>
      <c r="I120" s="23">
        <v>0</v>
      </c>
      <c r="J120" s="19"/>
    </row>
    <row r="121" spans="2:10" x14ac:dyDescent="0.3">
      <c r="B121" s="33">
        <v>14</v>
      </c>
      <c r="C121" s="49" t="s">
        <v>58</v>
      </c>
      <c r="D121" s="23">
        <v>0</v>
      </c>
      <c r="E121" s="23">
        <v>0</v>
      </c>
      <c r="F121" s="40">
        <f t="shared" si="22"/>
        <v>0</v>
      </c>
      <c r="G121" s="23">
        <f t="shared" si="23"/>
        <v>165438</v>
      </c>
      <c r="H121" s="41" t="e">
        <f t="shared" si="20"/>
        <v>#DIV/0!</v>
      </c>
      <c r="I121" s="23">
        <v>0</v>
      </c>
      <c r="J121" s="19"/>
    </row>
    <row r="122" spans="2:10" x14ac:dyDescent="0.3">
      <c r="B122" s="33">
        <v>15</v>
      </c>
      <c r="C122" s="31" t="s">
        <v>59</v>
      </c>
      <c r="D122" s="23">
        <v>0</v>
      </c>
      <c r="E122" s="23">
        <v>0</v>
      </c>
      <c r="F122" s="40">
        <f t="shared" si="22"/>
        <v>0</v>
      </c>
      <c r="G122" s="23">
        <f t="shared" si="23"/>
        <v>165438</v>
      </c>
      <c r="H122" s="41" t="e">
        <f t="shared" si="20"/>
        <v>#DIV/0!</v>
      </c>
      <c r="I122" s="23">
        <v>0</v>
      </c>
      <c r="J122" s="19"/>
    </row>
    <row r="123" spans="2:10" x14ac:dyDescent="0.3">
      <c r="B123" s="33">
        <v>16</v>
      </c>
      <c r="C123" s="31" t="s">
        <v>60</v>
      </c>
      <c r="D123" s="23">
        <v>0</v>
      </c>
      <c r="E123" s="23">
        <v>0</v>
      </c>
      <c r="F123" s="40">
        <f t="shared" si="22"/>
        <v>0</v>
      </c>
      <c r="G123" s="23">
        <f t="shared" si="23"/>
        <v>165438</v>
      </c>
      <c r="H123" s="41" t="e">
        <f t="shared" si="20"/>
        <v>#DIV/0!</v>
      </c>
      <c r="I123" s="23">
        <v>0</v>
      </c>
      <c r="J123" s="19"/>
    </row>
    <row r="124" spans="2:10" x14ac:dyDescent="0.3">
      <c r="B124" s="33">
        <v>17</v>
      </c>
      <c r="C124" s="31" t="s">
        <v>61</v>
      </c>
      <c r="D124" s="23">
        <v>0</v>
      </c>
      <c r="E124" s="23">
        <v>0</v>
      </c>
      <c r="F124" s="40">
        <f t="shared" si="22"/>
        <v>0</v>
      </c>
      <c r="G124" s="23">
        <f t="shared" si="23"/>
        <v>165438</v>
      </c>
      <c r="H124" s="41" t="e">
        <f t="shared" si="20"/>
        <v>#DIV/0!</v>
      </c>
      <c r="I124" s="23">
        <v>0</v>
      </c>
      <c r="J124" s="19"/>
    </row>
    <row r="125" spans="2:10" x14ac:dyDescent="0.3">
      <c r="B125" s="33">
        <v>18</v>
      </c>
      <c r="C125" s="31" t="s">
        <v>62</v>
      </c>
      <c r="D125" s="23">
        <v>0</v>
      </c>
      <c r="E125" s="23">
        <v>0</v>
      </c>
      <c r="F125" s="40">
        <f t="shared" si="22"/>
        <v>0</v>
      </c>
      <c r="G125" s="23">
        <f t="shared" si="23"/>
        <v>165438</v>
      </c>
      <c r="H125" s="41" t="e">
        <f t="shared" si="20"/>
        <v>#DIV/0!</v>
      </c>
      <c r="I125" s="23">
        <v>0</v>
      </c>
      <c r="J125" s="19"/>
    </row>
    <row r="126" spans="2:10" x14ac:dyDescent="0.3">
      <c r="B126" s="33">
        <v>19</v>
      </c>
      <c r="C126" s="31" t="s">
        <v>63</v>
      </c>
      <c r="D126" s="23">
        <v>128</v>
      </c>
      <c r="E126" s="23">
        <v>0</v>
      </c>
      <c r="F126" s="40">
        <f>+E126+D126</f>
        <v>128</v>
      </c>
      <c r="G126" s="23">
        <f t="shared" si="23"/>
        <v>165566</v>
      </c>
      <c r="H126" s="41" t="e">
        <f t="shared" si="20"/>
        <v>#DIV/0!</v>
      </c>
      <c r="I126" s="23">
        <v>0</v>
      </c>
      <c r="J126" s="19"/>
    </row>
    <row r="127" spans="2:10" x14ac:dyDescent="0.3">
      <c r="B127" s="33">
        <v>20</v>
      </c>
      <c r="C127" s="31" t="s">
        <v>64</v>
      </c>
      <c r="D127" s="23">
        <v>0</v>
      </c>
      <c r="E127" s="23">
        <v>0</v>
      </c>
      <c r="F127" s="40">
        <f t="shared" ref="F127:F135" si="24">+E127+D127</f>
        <v>0</v>
      </c>
      <c r="G127" s="23">
        <f t="shared" ref="G127:G135" si="25">+G126+F127</f>
        <v>165566</v>
      </c>
      <c r="H127" s="41" t="e">
        <f t="shared" ref="H127" si="26">((G127-I127)/I127)*100</f>
        <v>#DIV/0!</v>
      </c>
      <c r="I127" s="23">
        <v>0</v>
      </c>
      <c r="J127" s="19"/>
    </row>
    <row r="128" spans="2:10" x14ac:dyDescent="0.3">
      <c r="B128" s="33">
        <v>21</v>
      </c>
      <c r="C128" s="31" t="s">
        <v>65</v>
      </c>
      <c r="D128" s="23">
        <v>0</v>
      </c>
      <c r="E128" s="23">
        <v>0</v>
      </c>
      <c r="F128" s="40">
        <f t="shared" si="24"/>
        <v>0</v>
      </c>
      <c r="G128" s="23">
        <f t="shared" si="25"/>
        <v>165566</v>
      </c>
      <c r="H128" s="41" t="e">
        <f t="shared" ref="H128" si="27">((G128-I128)/I128)*100</f>
        <v>#DIV/0!</v>
      </c>
      <c r="I128" s="23">
        <v>0</v>
      </c>
      <c r="J128" s="19"/>
    </row>
    <row r="129" spans="2:10" x14ac:dyDescent="0.3">
      <c r="B129" s="33">
        <v>22</v>
      </c>
      <c r="C129" s="31" t="s">
        <v>66</v>
      </c>
      <c r="D129" s="23">
        <v>0</v>
      </c>
      <c r="E129" s="23">
        <v>0</v>
      </c>
      <c r="F129" s="40">
        <f t="shared" si="24"/>
        <v>0</v>
      </c>
      <c r="G129" s="23">
        <f t="shared" si="25"/>
        <v>165566</v>
      </c>
      <c r="H129" s="11" t="e">
        <f>+H128</f>
        <v>#DIV/0!</v>
      </c>
      <c r="I129" s="23">
        <v>0</v>
      </c>
      <c r="J129" s="19"/>
    </row>
    <row r="130" spans="2:10" x14ac:dyDescent="0.3">
      <c r="B130" s="33">
        <v>23</v>
      </c>
      <c r="C130" s="31" t="s">
        <v>76</v>
      </c>
      <c r="D130" s="23">
        <v>0</v>
      </c>
      <c r="E130" s="23">
        <v>0</v>
      </c>
      <c r="F130" s="40">
        <f t="shared" si="24"/>
        <v>0</v>
      </c>
      <c r="G130" s="23">
        <f t="shared" si="25"/>
        <v>165566</v>
      </c>
      <c r="H130" s="11" t="e">
        <f>+H129</f>
        <v>#DIV/0!</v>
      </c>
      <c r="I130" s="23">
        <v>0</v>
      </c>
      <c r="J130" s="19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24"/>
        <v>0</v>
      </c>
      <c r="G131" s="23">
        <f t="shared" si="25"/>
        <v>165566</v>
      </c>
      <c r="H131" s="11" t="e">
        <f>+H130</f>
        <v>#DIV/0!</v>
      </c>
      <c r="I131" s="23">
        <v>0</v>
      </c>
      <c r="J131" s="19"/>
    </row>
    <row r="132" spans="2:10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24"/>
        <v>0</v>
      </c>
      <c r="G132" s="23">
        <f t="shared" si="25"/>
        <v>165566</v>
      </c>
      <c r="H132" s="41" t="e">
        <f t="shared" ref="H132:H135" si="28">((G132-I132)/I132)*100</f>
        <v>#DIV/0!</v>
      </c>
      <c r="I132" s="23">
        <f>+I131+0</f>
        <v>0</v>
      </c>
      <c r="J132" s="19"/>
    </row>
    <row r="133" spans="2:10" x14ac:dyDescent="0.3">
      <c r="B133" s="33">
        <v>26</v>
      </c>
      <c r="C133" s="67" t="s">
        <v>70</v>
      </c>
      <c r="D133" s="23">
        <v>0</v>
      </c>
      <c r="E133" s="23">
        <v>0</v>
      </c>
      <c r="F133" s="40">
        <f t="shared" si="24"/>
        <v>0</v>
      </c>
      <c r="G133" s="23">
        <f t="shared" si="25"/>
        <v>165566</v>
      </c>
      <c r="H133" s="41" t="e">
        <f t="shared" si="28"/>
        <v>#DIV/0!</v>
      </c>
      <c r="I133" s="23">
        <f>+I132+0</f>
        <v>0</v>
      </c>
      <c r="J133" s="19"/>
    </row>
    <row r="134" spans="2:10" x14ac:dyDescent="0.3">
      <c r="B134" s="33">
        <v>27</v>
      </c>
      <c r="C134" s="67" t="s">
        <v>79</v>
      </c>
      <c r="D134" s="23">
        <v>0</v>
      </c>
      <c r="E134" s="23">
        <v>0</v>
      </c>
      <c r="F134" s="40">
        <f t="shared" si="24"/>
        <v>0</v>
      </c>
      <c r="G134" s="23">
        <f t="shared" si="25"/>
        <v>165566</v>
      </c>
      <c r="H134" s="41" t="e">
        <f t="shared" si="28"/>
        <v>#DIV/0!</v>
      </c>
      <c r="I134" s="23">
        <f>+I133+0</f>
        <v>0</v>
      </c>
      <c r="J134" s="19"/>
    </row>
    <row r="135" spans="2:10" x14ac:dyDescent="0.3">
      <c r="B135" s="33">
        <v>28</v>
      </c>
      <c r="C135" s="67" t="s">
        <v>80</v>
      </c>
      <c r="D135" s="23">
        <v>0</v>
      </c>
      <c r="E135" s="23">
        <v>-144895</v>
      </c>
      <c r="F135" s="40">
        <f t="shared" si="24"/>
        <v>-144895</v>
      </c>
      <c r="G135" s="23">
        <f t="shared" si="25"/>
        <v>20671</v>
      </c>
      <c r="H135" s="41" t="e">
        <f t="shared" si="28"/>
        <v>#DIV/0!</v>
      </c>
      <c r="I135" s="23">
        <f>+I134+0</f>
        <v>0</v>
      </c>
      <c r="J135" s="19"/>
    </row>
    <row r="136" spans="2:10" x14ac:dyDescent="0.3">
      <c r="B136" s="33">
        <v>29</v>
      </c>
      <c r="C136" s="67" t="s">
        <v>81</v>
      </c>
      <c r="D136" s="23">
        <v>0</v>
      </c>
      <c r="E136" s="23">
        <v>0</v>
      </c>
      <c r="F136" s="40">
        <f t="shared" ref="F136:F140" si="29">+E136+D136</f>
        <v>0</v>
      </c>
      <c r="G136" s="23">
        <f t="shared" ref="G136:G139" si="30">+G135+F136</f>
        <v>20671</v>
      </c>
      <c r="H136" s="41" t="e">
        <f t="shared" ref="H136:H142" si="31">((G136-I136)/I136)*100</f>
        <v>#DIV/0!</v>
      </c>
      <c r="I136" s="23">
        <f t="shared" ref="I136:I142" si="32">+I135+0</f>
        <v>0</v>
      </c>
      <c r="J136" s="19"/>
    </row>
    <row r="137" spans="2:10" x14ac:dyDescent="0.3">
      <c r="B137" s="33">
        <v>30</v>
      </c>
      <c r="C137" s="67" t="s">
        <v>82</v>
      </c>
      <c r="D137" s="23">
        <v>0</v>
      </c>
      <c r="E137" s="23">
        <v>0</v>
      </c>
      <c r="F137" s="40">
        <f t="shared" si="29"/>
        <v>0</v>
      </c>
      <c r="G137" s="23">
        <f t="shared" si="30"/>
        <v>20671</v>
      </c>
      <c r="H137" s="41" t="e">
        <f t="shared" si="31"/>
        <v>#DIV/0!</v>
      </c>
      <c r="I137" s="23">
        <f t="shared" si="32"/>
        <v>0</v>
      </c>
      <c r="J137" s="19"/>
    </row>
    <row r="138" spans="2:10" x14ac:dyDescent="0.3">
      <c r="B138" s="33">
        <v>31</v>
      </c>
      <c r="C138" s="67" t="s">
        <v>83</v>
      </c>
      <c r="D138" s="23">
        <v>0</v>
      </c>
      <c r="E138" s="23">
        <v>0</v>
      </c>
      <c r="F138" s="40">
        <f t="shared" si="29"/>
        <v>0</v>
      </c>
      <c r="G138" s="23">
        <f t="shared" si="30"/>
        <v>20671</v>
      </c>
      <c r="H138" s="41" t="e">
        <f t="shared" si="31"/>
        <v>#DIV/0!</v>
      </c>
      <c r="I138" s="23">
        <f t="shared" si="32"/>
        <v>0</v>
      </c>
      <c r="J138" s="19"/>
    </row>
    <row r="139" spans="2:10" x14ac:dyDescent="0.3">
      <c r="B139" s="33">
        <v>32</v>
      </c>
      <c r="C139" s="67" t="s">
        <v>84</v>
      </c>
      <c r="D139" s="23">
        <v>0</v>
      </c>
      <c r="E139" s="23">
        <v>0</v>
      </c>
      <c r="F139" s="40">
        <f t="shared" si="29"/>
        <v>0</v>
      </c>
      <c r="G139" s="23">
        <f t="shared" si="30"/>
        <v>20671</v>
      </c>
      <c r="H139" s="41" t="e">
        <f t="shared" si="31"/>
        <v>#DIV/0!</v>
      </c>
      <c r="I139" s="23">
        <f t="shared" si="32"/>
        <v>0</v>
      </c>
      <c r="J139" s="19"/>
    </row>
    <row r="140" spans="2:10" x14ac:dyDescent="0.3">
      <c r="B140" s="33">
        <v>33</v>
      </c>
      <c r="C140" s="67" t="s">
        <v>85</v>
      </c>
      <c r="D140" s="23">
        <v>0</v>
      </c>
      <c r="E140" s="23">
        <v>0</v>
      </c>
      <c r="F140" s="40">
        <f t="shared" si="29"/>
        <v>0</v>
      </c>
      <c r="G140" s="23">
        <f>+G139+F140</f>
        <v>20671</v>
      </c>
      <c r="H140" s="41" t="e">
        <f t="shared" si="31"/>
        <v>#DIV/0!</v>
      </c>
      <c r="I140" s="23">
        <f t="shared" si="32"/>
        <v>0</v>
      </c>
      <c r="J140" s="19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20671</v>
      </c>
      <c r="H141" s="41" t="e">
        <f t="shared" si="31"/>
        <v>#DIV/0!</v>
      </c>
      <c r="I141" s="23">
        <f t="shared" si="32"/>
        <v>0</v>
      </c>
      <c r="J141" s="19"/>
    </row>
    <row r="142" spans="2:10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20671</v>
      </c>
      <c r="H142" s="41" t="e">
        <f t="shared" si="31"/>
        <v>#DIV/0!</v>
      </c>
      <c r="I142" s="23">
        <f t="shared" si="32"/>
        <v>0</v>
      </c>
      <c r="J142" s="19"/>
    </row>
    <row r="143" spans="2:10" hidden="1" x14ac:dyDescent="0.3">
      <c r="B143" s="33">
        <v>36</v>
      </c>
      <c r="C143" s="67"/>
      <c r="D143" s="23"/>
      <c r="E143" s="23"/>
      <c r="F143" s="40"/>
      <c r="G143" s="23"/>
      <c r="H143" s="41"/>
      <c r="I143" s="23"/>
      <c r="J143" s="19"/>
    </row>
    <row r="144" spans="2:10" hidden="1" x14ac:dyDescent="0.3">
      <c r="B144" s="33">
        <v>37</v>
      </c>
      <c r="C144" s="67"/>
      <c r="D144" s="23"/>
      <c r="E144" s="23"/>
      <c r="F144" s="40"/>
      <c r="G144" s="23"/>
      <c r="H144" s="41"/>
      <c r="I144" s="23"/>
      <c r="J144" s="19"/>
    </row>
    <row r="145" spans="2:10" hidden="1" x14ac:dyDescent="0.3">
      <c r="B145" s="33">
        <v>38</v>
      </c>
      <c r="C145" s="67"/>
      <c r="D145" s="23"/>
      <c r="E145" s="23"/>
      <c r="F145" s="40"/>
      <c r="G145" s="23"/>
      <c r="H145" s="41"/>
      <c r="I145" s="23"/>
      <c r="J145" s="19"/>
    </row>
    <row r="146" spans="2:10" hidden="1" x14ac:dyDescent="0.3">
      <c r="B146" s="33">
        <v>39</v>
      </c>
      <c r="C146" s="67"/>
      <c r="D146" s="23"/>
      <c r="E146" s="23"/>
      <c r="F146" s="40"/>
      <c r="G146" s="23"/>
      <c r="H146" s="41"/>
      <c r="I146" s="23"/>
      <c r="J146" s="19"/>
    </row>
    <row r="147" spans="2:10" hidden="1" x14ac:dyDescent="0.3">
      <c r="B147" s="33">
        <v>40</v>
      </c>
      <c r="C147" s="67"/>
      <c r="D147" s="23"/>
      <c r="E147" s="23"/>
      <c r="F147" s="40"/>
      <c r="G147" s="23"/>
      <c r="H147" s="41"/>
      <c r="I147" s="23"/>
      <c r="J147" s="19"/>
    </row>
    <row r="148" spans="2:10" x14ac:dyDescent="0.3">
      <c r="B148" s="5"/>
      <c r="C148" s="5"/>
      <c r="D148" s="6"/>
      <c r="E148" s="6"/>
      <c r="F148" s="6"/>
      <c r="G148" s="6"/>
      <c r="H148" s="7"/>
      <c r="I148" s="6"/>
      <c r="J148" s="5"/>
    </row>
    <row r="149" spans="2:10" x14ac:dyDescent="0.3">
      <c r="B149" s="8" t="s">
        <v>27</v>
      </c>
      <c r="C149" s="5"/>
      <c r="D149" s="5"/>
      <c r="E149" s="5"/>
      <c r="F149" s="5"/>
      <c r="G149" s="5"/>
      <c r="H149" s="5"/>
      <c r="I149" s="5"/>
      <c r="J149" s="5"/>
    </row>
    <row r="150" spans="2:10" x14ac:dyDescent="0.3">
      <c r="B150" s="9" t="s">
        <v>28</v>
      </c>
      <c r="C150" s="5"/>
      <c r="D150" s="5"/>
      <c r="E150" s="5"/>
      <c r="F150" s="5"/>
      <c r="G150" s="5"/>
      <c r="H150" s="5"/>
      <c r="I150" s="5"/>
      <c r="J150" s="5"/>
    </row>
    <row r="151" spans="2:10" x14ac:dyDescent="0.3">
      <c r="B151" s="9" t="s">
        <v>29</v>
      </c>
      <c r="C151" s="5"/>
      <c r="D151" s="5"/>
      <c r="E151" s="5"/>
      <c r="F151" s="5"/>
      <c r="G151" s="5"/>
      <c r="H151" s="5"/>
      <c r="I151" s="5"/>
      <c r="J151" s="5"/>
    </row>
    <row r="152" spans="2:10" x14ac:dyDescent="0.3">
      <c r="B152" s="9" t="s">
        <v>30</v>
      </c>
      <c r="C152" s="5"/>
      <c r="D152" s="5"/>
      <c r="E152" s="5"/>
      <c r="F152" s="5"/>
      <c r="G152" s="5"/>
      <c r="H152" s="5"/>
      <c r="I152" s="5"/>
      <c r="J152" s="5"/>
    </row>
    <row r="155" spans="2:10" ht="18" x14ac:dyDescent="0.35">
      <c r="B155" s="10"/>
      <c r="C155" s="10"/>
      <c r="D155" s="127" t="s">
        <v>34</v>
      </c>
      <c r="E155" s="127"/>
      <c r="F155" s="127"/>
      <c r="G155" s="127"/>
      <c r="H155" s="127"/>
      <c r="I155" s="127"/>
      <c r="J155" s="10"/>
    </row>
    <row r="156" spans="2:10" s="28" customFormat="1" ht="15.6" x14ac:dyDescent="0.3">
      <c r="B156" s="24"/>
      <c r="C156" s="24"/>
      <c r="D156" s="131" t="s">
        <v>37</v>
      </c>
      <c r="E156" s="131"/>
      <c r="F156" s="131"/>
      <c r="G156" s="131"/>
      <c r="H156" s="131"/>
      <c r="I156" s="131"/>
      <c r="J156" s="24"/>
    </row>
    <row r="157" spans="2:10" ht="15.9" customHeight="1" x14ac:dyDescent="0.3">
      <c r="B157" s="132" t="s">
        <v>89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28" t="s">
        <v>6</v>
      </c>
      <c r="E158" s="129"/>
      <c r="F158" s="129"/>
      <c r="G158" s="130"/>
      <c r="H158" s="120" t="s">
        <v>7</v>
      </c>
      <c r="I158" s="121"/>
      <c r="J158" s="4"/>
    </row>
    <row r="159" spans="2:10" x14ac:dyDescent="0.3">
      <c r="B159" s="12"/>
      <c r="C159" s="13"/>
      <c r="D159" s="124" t="s">
        <v>9</v>
      </c>
      <c r="E159" s="125"/>
      <c r="F159" s="125"/>
      <c r="G159" s="126"/>
      <c r="H159" s="122"/>
      <c r="I159" s="123"/>
      <c r="J159" s="4"/>
    </row>
    <row r="160" spans="2:10" ht="14.4" customHeight="1" x14ac:dyDescent="0.3">
      <c r="B160" s="111" t="s">
        <v>10</v>
      </c>
      <c r="C160" s="113" t="s">
        <v>11</v>
      </c>
      <c r="D160" s="16" t="s">
        <v>12</v>
      </c>
      <c r="E160" s="16" t="s">
        <v>13</v>
      </c>
      <c r="F160" s="16" t="s">
        <v>14</v>
      </c>
      <c r="G160" s="16" t="s">
        <v>15</v>
      </c>
      <c r="H160" s="115" t="s">
        <v>16</v>
      </c>
      <c r="I160" s="113" t="s">
        <v>17</v>
      </c>
      <c r="J160" s="17"/>
    </row>
    <row r="161" spans="2:10" ht="35.4" customHeight="1" x14ac:dyDescent="0.3">
      <c r="B161" s="112"/>
      <c r="C161" s="114"/>
      <c r="D161" s="117" t="s">
        <v>20</v>
      </c>
      <c r="E161" s="118"/>
      <c r="F161" s="118"/>
      <c r="G161" s="119"/>
      <c r="H161" s="116"/>
      <c r="I161" s="114"/>
      <c r="J161" s="17"/>
    </row>
    <row r="162" spans="2:10" x14ac:dyDescent="0.3">
      <c r="B162" s="33">
        <v>4</v>
      </c>
      <c r="C162" s="31" t="s">
        <v>21</v>
      </c>
      <c r="D162" s="18">
        <v>537.5</v>
      </c>
      <c r="E162" s="18">
        <v>0</v>
      </c>
      <c r="F162" s="36">
        <f>+D162+E162</f>
        <v>537.5</v>
      </c>
      <c r="G162" s="18">
        <f>+F162</f>
        <v>537.5</v>
      </c>
      <c r="H162" s="37" t="e">
        <f t="shared" ref="H162:H180" si="33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472.5</v>
      </c>
      <c r="E163" s="23">
        <v>0</v>
      </c>
      <c r="F163" s="40">
        <f>+E163+D163</f>
        <v>472.5</v>
      </c>
      <c r="G163" s="23">
        <f>+G162+F163</f>
        <v>1010</v>
      </c>
      <c r="H163" s="41">
        <f t="shared" si="33"/>
        <v>-19.39345570630487</v>
      </c>
      <c r="I163" s="23">
        <v>1253</v>
      </c>
      <c r="J163" s="19"/>
    </row>
    <row r="164" spans="2:10" x14ac:dyDescent="0.3">
      <c r="B164" s="33">
        <v>6</v>
      </c>
      <c r="C164" s="31" t="s">
        <v>23</v>
      </c>
      <c r="D164" s="23">
        <v>0</v>
      </c>
      <c r="E164" s="23">
        <v>0</v>
      </c>
      <c r="F164" s="40">
        <f>+E164+D164</f>
        <v>0</v>
      </c>
      <c r="G164" s="23">
        <f t="shared" ref="G164" si="34">+G163+F164</f>
        <v>1010</v>
      </c>
      <c r="H164" s="41">
        <f t="shared" si="33"/>
        <v>-62.306400447844744</v>
      </c>
      <c r="I164" s="23">
        <f>+I163+1426.5</f>
        <v>2679.5</v>
      </c>
      <c r="J164" s="19"/>
    </row>
    <row r="165" spans="2:10" x14ac:dyDescent="0.3">
      <c r="B165" s="33">
        <v>7</v>
      </c>
      <c r="C165" s="31" t="s">
        <v>24</v>
      </c>
      <c r="D165" s="23">
        <v>0</v>
      </c>
      <c r="E165" s="23">
        <v>0</v>
      </c>
      <c r="F165" s="40">
        <f t="shared" ref="F165:F177" si="35">+E165+D165</f>
        <v>0</v>
      </c>
      <c r="G165" s="23">
        <f>+G164+F165</f>
        <v>1010</v>
      </c>
      <c r="H165" s="41">
        <f t="shared" si="33"/>
        <v>-62.306400447844744</v>
      </c>
      <c r="I165" s="23">
        <f>+I164+0</f>
        <v>2679.5</v>
      </c>
      <c r="J165" s="19"/>
    </row>
    <row r="166" spans="2:10" x14ac:dyDescent="0.3">
      <c r="B166" s="33">
        <v>8</v>
      </c>
      <c r="C166" s="31" t="s">
        <v>25</v>
      </c>
      <c r="D166" s="23">
        <v>0</v>
      </c>
      <c r="E166" s="23">
        <v>0</v>
      </c>
      <c r="F166" s="40">
        <f t="shared" si="35"/>
        <v>0</v>
      </c>
      <c r="G166" s="23">
        <f t="shared" ref="G166:G177" si="36">+G165+F166</f>
        <v>1010</v>
      </c>
      <c r="H166" s="41">
        <f t="shared" si="33"/>
        <v>-62.306400447844744</v>
      </c>
      <c r="I166" s="23">
        <v>2679.5</v>
      </c>
      <c r="J166" s="19"/>
    </row>
    <row r="167" spans="2:10" x14ac:dyDescent="0.3">
      <c r="B167" s="33">
        <v>9</v>
      </c>
      <c r="C167" s="31" t="s">
        <v>26</v>
      </c>
      <c r="D167" s="23">
        <v>1387.5</v>
      </c>
      <c r="E167" s="23">
        <v>0</v>
      </c>
      <c r="F167" s="40">
        <f t="shared" si="35"/>
        <v>1387.5</v>
      </c>
      <c r="G167" s="23">
        <f t="shared" si="36"/>
        <v>2397.5</v>
      </c>
      <c r="H167" s="41">
        <f t="shared" si="33"/>
        <v>-40.174672489082965</v>
      </c>
      <c r="I167" s="23">
        <f>+I166+1328</f>
        <v>4007.5</v>
      </c>
      <c r="J167" s="19"/>
    </row>
    <row r="168" spans="2:10" x14ac:dyDescent="0.3">
      <c r="B168" s="33">
        <v>10</v>
      </c>
      <c r="C168" s="31" t="s">
        <v>55</v>
      </c>
      <c r="D168" s="23">
        <v>0</v>
      </c>
      <c r="E168" s="23">
        <v>0</v>
      </c>
      <c r="F168" s="40">
        <f t="shared" si="35"/>
        <v>0</v>
      </c>
      <c r="G168" s="23">
        <f t="shared" si="36"/>
        <v>2397.5</v>
      </c>
      <c r="H168" s="41">
        <f t="shared" si="33"/>
        <v>-41.652470187393526</v>
      </c>
      <c r="I168" s="23">
        <f>+I167+101.5</f>
        <v>4109</v>
      </c>
      <c r="J168" s="19"/>
    </row>
    <row r="169" spans="2:10" x14ac:dyDescent="0.3">
      <c r="B169" s="33">
        <v>11</v>
      </c>
      <c r="C169" s="31" t="s">
        <v>56</v>
      </c>
      <c r="D169" s="23">
        <v>1605</v>
      </c>
      <c r="E169" s="23">
        <v>0</v>
      </c>
      <c r="F169" s="40">
        <f t="shared" si="35"/>
        <v>1605</v>
      </c>
      <c r="G169" s="23">
        <f t="shared" si="36"/>
        <v>4002.5</v>
      </c>
      <c r="H169" s="41">
        <f t="shared" si="33"/>
        <v>-2.5918715015818936</v>
      </c>
      <c r="I169" s="23">
        <f>+I168</f>
        <v>4109</v>
      </c>
      <c r="J169" s="19"/>
    </row>
    <row r="170" spans="2:10" x14ac:dyDescent="0.3">
      <c r="B170" s="33">
        <v>12</v>
      </c>
      <c r="C170" s="31" t="s">
        <v>71</v>
      </c>
      <c r="D170" s="23">
        <v>0</v>
      </c>
      <c r="E170" s="23">
        <v>0</v>
      </c>
      <c r="F170" s="40">
        <f t="shared" si="35"/>
        <v>0</v>
      </c>
      <c r="G170" s="23">
        <f t="shared" si="36"/>
        <v>4002.5</v>
      </c>
      <c r="H170" s="41">
        <f t="shared" si="33"/>
        <v>-2.5918715015818936</v>
      </c>
      <c r="I170" s="23">
        <f>+I169+0</f>
        <v>4109</v>
      </c>
      <c r="J170" s="19"/>
    </row>
    <row r="171" spans="2:10" x14ac:dyDescent="0.3">
      <c r="B171" s="33">
        <v>13</v>
      </c>
      <c r="C171" s="31" t="s">
        <v>57</v>
      </c>
      <c r="D171" s="23">
        <v>0</v>
      </c>
      <c r="E171" s="23">
        <v>0</v>
      </c>
      <c r="F171" s="40">
        <f t="shared" si="35"/>
        <v>0</v>
      </c>
      <c r="G171" s="23">
        <f t="shared" si="36"/>
        <v>4002.5</v>
      </c>
      <c r="H171" s="41">
        <f t="shared" si="33"/>
        <v>-2.5918715015818936</v>
      </c>
      <c r="I171" s="23">
        <v>4109</v>
      </c>
      <c r="J171" s="19"/>
    </row>
    <row r="172" spans="2:10" x14ac:dyDescent="0.3">
      <c r="B172" s="33">
        <v>14</v>
      </c>
      <c r="C172" s="49" t="s">
        <v>58</v>
      </c>
      <c r="D172" s="23">
        <v>0</v>
      </c>
      <c r="E172" s="23">
        <v>0</v>
      </c>
      <c r="F172" s="40">
        <f t="shared" si="35"/>
        <v>0</v>
      </c>
      <c r="G172" s="23">
        <f t="shared" si="36"/>
        <v>4002.5</v>
      </c>
      <c r="H172" s="41">
        <f t="shared" si="33"/>
        <v>-2.5918715015818936</v>
      </c>
      <c r="I172" s="23">
        <f>+I171+0</f>
        <v>4109</v>
      </c>
      <c r="J172" s="19"/>
    </row>
    <row r="173" spans="2:10" x14ac:dyDescent="0.3">
      <c r="B173" s="33">
        <v>15</v>
      </c>
      <c r="C173" s="31" t="s">
        <v>59</v>
      </c>
      <c r="D173" s="23">
        <v>0</v>
      </c>
      <c r="E173" s="23">
        <v>0</v>
      </c>
      <c r="F173" s="40">
        <f t="shared" si="35"/>
        <v>0</v>
      </c>
      <c r="G173" s="23">
        <f t="shared" si="36"/>
        <v>4002.5</v>
      </c>
      <c r="H173" s="41">
        <f t="shared" si="33"/>
        <v>-2.5918715015818936</v>
      </c>
      <c r="I173" s="23">
        <f>+I172+0</f>
        <v>4109</v>
      </c>
      <c r="J173" s="19"/>
    </row>
    <row r="174" spans="2:10" x14ac:dyDescent="0.3">
      <c r="B174" s="33">
        <v>16</v>
      </c>
      <c r="C174" s="31" t="s">
        <v>60</v>
      </c>
      <c r="D174" s="23">
        <v>0</v>
      </c>
      <c r="E174" s="23">
        <v>0</v>
      </c>
      <c r="F174" s="40">
        <f t="shared" si="35"/>
        <v>0</v>
      </c>
      <c r="G174" s="23">
        <f t="shared" si="36"/>
        <v>4002.5</v>
      </c>
      <c r="H174" s="41">
        <f t="shared" si="33"/>
        <v>-2.5918715015818936</v>
      </c>
      <c r="I174" s="23">
        <v>4109</v>
      </c>
      <c r="J174" s="19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35"/>
        <v>0</v>
      </c>
      <c r="G175" s="23">
        <f t="shared" si="36"/>
        <v>4002.5</v>
      </c>
      <c r="H175" s="41">
        <f t="shared" si="33"/>
        <v>-2.5918715015818936</v>
      </c>
      <c r="I175" s="23">
        <v>4109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35"/>
        <v>0</v>
      </c>
      <c r="G176" s="23">
        <f t="shared" si="36"/>
        <v>4002.5</v>
      </c>
      <c r="H176" s="41">
        <f t="shared" si="33"/>
        <v>-2.5918715015818936</v>
      </c>
      <c r="I176" s="23">
        <f t="shared" ref="I176:I181" si="37">+I175+0</f>
        <v>4109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35"/>
        <v>0</v>
      </c>
      <c r="G177" s="23">
        <f t="shared" si="36"/>
        <v>4002.5</v>
      </c>
      <c r="H177" s="41">
        <f t="shared" si="33"/>
        <v>-2.5918715015818936</v>
      </c>
      <c r="I177" s="23">
        <f t="shared" si="37"/>
        <v>4109</v>
      </c>
      <c r="J177" s="19"/>
    </row>
    <row r="178" spans="2:10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6" si="38">+E178+D178</f>
        <v>0</v>
      </c>
      <c r="G178" s="23">
        <f t="shared" ref="G178:G186" si="39">+G177+F178</f>
        <v>4002.5</v>
      </c>
      <c r="H178" s="41">
        <f t="shared" si="33"/>
        <v>-2.5918715015818936</v>
      </c>
      <c r="I178" s="23">
        <f t="shared" si="37"/>
        <v>4109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38"/>
        <v>0</v>
      </c>
      <c r="G179" s="23">
        <f t="shared" si="39"/>
        <v>4002.5</v>
      </c>
      <c r="H179" s="41">
        <f t="shared" si="33"/>
        <v>-2.5918715015818936</v>
      </c>
      <c r="I179" s="23">
        <f t="shared" si="37"/>
        <v>4109</v>
      </c>
      <c r="J179" s="19"/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38"/>
        <v>0</v>
      </c>
      <c r="G180" s="23">
        <f t="shared" si="39"/>
        <v>4002.5</v>
      </c>
      <c r="H180" s="41">
        <f t="shared" si="33"/>
        <v>-2.5918715015818936</v>
      </c>
      <c r="I180" s="23">
        <f t="shared" si="37"/>
        <v>4109</v>
      </c>
      <c r="J180" s="19"/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38"/>
        <v>0</v>
      </c>
      <c r="G181" s="23">
        <f t="shared" si="39"/>
        <v>4002.5</v>
      </c>
      <c r="H181" s="41">
        <f t="shared" ref="H181:H186" si="40">((G181-I181)/I181)*100</f>
        <v>-2.5918715015818936</v>
      </c>
      <c r="I181" s="23">
        <f t="shared" si="37"/>
        <v>4109</v>
      </c>
      <c r="J181" s="19"/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38"/>
        <v>0</v>
      </c>
      <c r="G182" s="23">
        <f t="shared" si="39"/>
        <v>4002.5</v>
      </c>
      <c r="H182" s="41">
        <f t="shared" si="40"/>
        <v>-2.5918715015818936</v>
      </c>
      <c r="I182" s="23">
        <f>+I181+0</f>
        <v>4109</v>
      </c>
      <c r="J182" s="19"/>
    </row>
    <row r="183" spans="2:10" x14ac:dyDescent="0.3">
      <c r="B183" s="33">
        <v>25</v>
      </c>
      <c r="C183" s="67" t="s">
        <v>69</v>
      </c>
      <c r="D183" s="23">
        <v>0</v>
      </c>
      <c r="E183" s="23">
        <v>0</v>
      </c>
      <c r="F183" s="40">
        <f t="shared" si="38"/>
        <v>0</v>
      </c>
      <c r="G183" s="23">
        <f t="shared" si="39"/>
        <v>4002.5</v>
      </c>
      <c r="H183" s="41">
        <f t="shared" si="40"/>
        <v>-2.5918715015818936</v>
      </c>
      <c r="I183" s="23">
        <f>+I182+0</f>
        <v>4109</v>
      </c>
      <c r="J183" s="19"/>
    </row>
    <row r="184" spans="2:10" x14ac:dyDescent="0.3">
      <c r="B184" s="97">
        <v>26</v>
      </c>
      <c r="C184" s="67" t="s">
        <v>70</v>
      </c>
      <c r="D184" s="23">
        <v>0</v>
      </c>
      <c r="E184" s="23">
        <v>0</v>
      </c>
      <c r="F184" s="40">
        <f t="shared" si="38"/>
        <v>0</v>
      </c>
      <c r="G184" s="23">
        <f t="shared" si="39"/>
        <v>4002.5</v>
      </c>
      <c r="H184" s="41">
        <f t="shared" si="40"/>
        <v>-2.5918715015818936</v>
      </c>
      <c r="I184" s="23">
        <f>+I183+0</f>
        <v>4109</v>
      </c>
      <c r="J184" s="19"/>
    </row>
    <row r="185" spans="2:10" x14ac:dyDescent="0.3">
      <c r="B185" s="33">
        <v>27</v>
      </c>
      <c r="C185" s="67" t="s">
        <v>79</v>
      </c>
      <c r="D185" s="23">
        <v>0</v>
      </c>
      <c r="E185" s="23">
        <v>0</v>
      </c>
      <c r="F185" s="40">
        <f t="shared" si="38"/>
        <v>0</v>
      </c>
      <c r="G185" s="23">
        <f t="shared" si="39"/>
        <v>4002.5</v>
      </c>
      <c r="H185" s="41">
        <f t="shared" si="40"/>
        <v>-2.5918715015818936</v>
      </c>
      <c r="I185" s="23">
        <f>+I184+0</f>
        <v>4109</v>
      </c>
      <c r="J185" s="19"/>
    </row>
    <row r="186" spans="2:10" x14ac:dyDescent="0.3">
      <c r="B186" s="97">
        <v>28</v>
      </c>
      <c r="C186" s="67" t="s">
        <v>80</v>
      </c>
      <c r="D186" s="23">
        <v>0</v>
      </c>
      <c r="E186" s="23">
        <v>0</v>
      </c>
      <c r="F186" s="40">
        <f t="shared" si="38"/>
        <v>0</v>
      </c>
      <c r="G186" s="23">
        <f t="shared" si="39"/>
        <v>4002.5</v>
      </c>
      <c r="H186" s="41">
        <f t="shared" si="40"/>
        <v>-2.5918715015818936</v>
      </c>
      <c r="I186" s="23">
        <f>+I185+0</f>
        <v>4109</v>
      </c>
      <c r="J186" s="19"/>
    </row>
    <row r="187" spans="2:10" x14ac:dyDescent="0.3">
      <c r="B187" s="33">
        <v>29</v>
      </c>
      <c r="C187" s="67" t="s">
        <v>81</v>
      </c>
      <c r="D187" s="23">
        <v>0</v>
      </c>
      <c r="E187" s="23">
        <v>0</v>
      </c>
      <c r="F187" s="40">
        <f t="shared" ref="F187:F191" si="41">+E187+D187</f>
        <v>0</v>
      </c>
      <c r="G187" s="23">
        <f t="shared" ref="G187:G190" si="42">+G186+F187</f>
        <v>4002.5</v>
      </c>
      <c r="H187" s="41">
        <f t="shared" ref="H187:H193" si="43">((G187-I187)/I187)*100</f>
        <v>-2.5918715015818936</v>
      </c>
      <c r="I187" s="23">
        <f t="shared" ref="I187:I193" si="44">+I186+0</f>
        <v>4109</v>
      </c>
      <c r="J187" s="10"/>
    </row>
    <row r="188" spans="2:10" x14ac:dyDescent="0.3">
      <c r="B188" s="33">
        <v>30</v>
      </c>
      <c r="C188" s="67" t="s">
        <v>82</v>
      </c>
      <c r="D188" s="23">
        <v>0</v>
      </c>
      <c r="E188" s="23">
        <v>0</v>
      </c>
      <c r="F188" s="40">
        <f t="shared" si="41"/>
        <v>0</v>
      </c>
      <c r="G188" s="23">
        <f t="shared" si="42"/>
        <v>4002.5</v>
      </c>
      <c r="H188" s="41">
        <f t="shared" si="43"/>
        <v>-2.5918715015818936</v>
      </c>
      <c r="I188" s="23">
        <f t="shared" si="44"/>
        <v>4109</v>
      </c>
      <c r="J188" s="10"/>
    </row>
    <row r="189" spans="2:10" x14ac:dyDescent="0.3">
      <c r="B189" s="33">
        <v>31</v>
      </c>
      <c r="C189" s="67" t="s">
        <v>83</v>
      </c>
      <c r="D189" s="23">
        <v>0</v>
      </c>
      <c r="E189" s="23">
        <v>0</v>
      </c>
      <c r="F189" s="40">
        <f t="shared" si="41"/>
        <v>0</v>
      </c>
      <c r="G189" s="23">
        <f t="shared" si="42"/>
        <v>4002.5</v>
      </c>
      <c r="H189" s="41">
        <f t="shared" si="43"/>
        <v>-2.5918715015818936</v>
      </c>
      <c r="I189" s="23">
        <f t="shared" si="44"/>
        <v>4109</v>
      </c>
      <c r="J189" s="10"/>
    </row>
    <row r="190" spans="2:10" x14ac:dyDescent="0.3">
      <c r="B190" s="33">
        <v>32</v>
      </c>
      <c r="C190" s="67" t="s">
        <v>84</v>
      </c>
      <c r="D190" s="23">
        <v>0</v>
      </c>
      <c r="E190" s="23">
        <v>0</v>
      </c>
      <c r="F190" s="40">
        <f t="shared" si="41"/>
        <v>0</v>
      </c>
      <c r="G190" s="23">
        <f t="shared" si="42"/>
        <v>4002.5</v>
      </c>
      <c r="H190" s="41">
        <f t="shared" si="43"/>
        <v>-2.5918715015818936</v>
      </c>
      <c r="I190" s="23">
        <f t="shared" si="44"/>
        <v>4109</v>
      </c>
      <c r="J190" s="10"/>
    </row>
    <row r="191" spans="2:10" x14ac:dyDescent="0.3">
      <c r="B191" s="33">
        <v>33</v>
      </c>
      <c r="C191" s="67" t="s">
        <v>85</v>
      </c>
      <c r="D191" s="23">
        <v>0</v>
      </c>
      <c r="E191" s="23">
        <v>0</v>
      </c>
      <c r="F191" s="40">
        <f t="shared" si="41"/>
        <v>0</v>
      </c>
      <c r="G191" s="23">
        <f>+G190+F191</f>
        <v>4002.5</v>
      </c>
      <c r="H191" s="41">
        <f t="shared" si="43"/>
        <v>-2.5918715015818936</v>
      </c>
      <c r="I191" s="23">
        <f t="shared" si="44"/>
        <v>4109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4002.5</v>
      </c>
      <c r="H192" s="41">
        <f t="shared" si="43"/>
        <v>-2.5918715015818936</v>
      </c>
      <c r="I192" s="23">
        <f t="shared" si="44"/>
        <v>4109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4002.5</v>
      </c>
      <c r="H193" s="41">
        <f t="shared" si="43"/>
        <v>-2.5918715015818936</v>
      </c>
      <c r="I193" s="23">
        <f t="shared" si="44"/>
        <v>4109</v>
      </c>
      <c r="J193" s="10"/>
    </row>
    <row r="194" spans="2:10" hidden="1" x14ac:dyDescent="0.3">
      <c r="B194" s="33">
        <v>36</v>
      </c>
      <c r="C194" s="67"/>
      <c r="D194" s="23"/>
      <c r="E194" s="23"/>
      <c r="F194" s="40"/>
      <c r="G194" s="23"/>
      <c r="H194" s="41"/>
      <c r="I194" s="23"/>
      <c r="J194" s="10"/>
    </row>
    <row r="195" spans="2:10" hidden="1" x14ac:dyDescent="0.3">
      <c r="B195" s="33">
        <v>37</v>
      </c>
      <c r="C195" s="67"/>
      <c r="D195" s="23"/>
      <c r="E195" s="23"/>
      <c r="F195" s="40"/>
      <c r="G195" s="23"/>
      <c r="H195" s="41"/>
      <c r="I195" s="23"/>
      <c r="J195" s="10"/>
    </row>
    <row r="196" spans="2:10" hidden="1" x14ac:dyDescent="0.3">
      <c r="B196" s="33">
        <v>38</v>
      </c>
      <c r="C196" s="67"/>
      <c r="D196" s="23"/>
      <c r="E196" s="23"/>
      <c r="F196" s="40"/>
      <c r="G196" s="23"/>
      <c r="H196" s="41"/>
      <c r="I196" s="23"/>
      <c r="J196" s="10"/>
    </row>
    <row r="197" spans="2:10" hidden="1" x14ac:dyDescent="0.3">
      <c r="B197" s="33">
        <v>39</v>
      </c>
      <c r="C197" s="67"/>
      <c r="D197" s="23"/>
      <c r="E197" s="23"/>
      <c r="F197" s="40"/>
      <c r="G197" s="23"/>
      <c r="H197" s="41"/>
      <c r="I197" s="23"/>
      <c r="J197" s="10"/>
    </row>
    <row r="198" spans="2:10" hidden="1" x14ac:dyDescent="0.3">
      <c r="B198" s="33">
        <v>40</v>
      </c>
      <c r="C198" s="67"/>
      <c r="D198" s="23"/>
      <c r="E198" s="23"/>
      <c r="F198" s="40"/>
      <c r="G198" s="23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7"/>
      <c r="I199" s="6"/>
      <c r="J199" s="5"/>
    </row>
    <row r="200" spans="2:10" x14ac:dyDescent="0.3">
      <c r="B200" s="8" t="s">
        <v>27</v>
      </c>
      <c r="C200" s="5"/>
      <c r="D200" s="5"/>
      <c r="E200" s="5"/>
      <c r="F200" s="5"/>
      <c r="G200" s="5"/>
      <c r="H200" s="5"/>
      <c r="I200" s="5"/>
      <c r="J200" s="5"/>
    </row>
    <row r="201" spans="2:10" x14ac:dyDescent="0.3">
      <c r="B201" s="9" t="s">
        <v>28</v>
      </c>
      <c r="C201" s="5"/>
      <c r="D201" s="5"/>
      <c r="E201" s="5"/>
      <c r="F201" s="5"/>
      <c r="G201" s="5"/>
      <c r="H201" s="5"/>
      <c r="I201" s="5"/>
      <c r="J201" s="5"/>
    </row>
    <row r="202" spans="2:10" x14ac:dyDescent="0.3">
      <c r="B202" s="9" t="s">
        <v>29</v>
      </c>
      <c r="C202" s="5"/>
      <c r="D202" s="5"/>
      <c r="E202" s="5"/>
      <c r="F202" s="5"/>
      <c r="G202" s="5"/>
      <c r="H202" s="5"/>
      <c r="I202" s="5"/>
      <c r="J202" s="5"/>
    </row>
    <row r="203" spans="2:10" x14ac:dyDescent="0.3">
      <c r="B203" s="9" t="s">
        <v>30</v>
      </c>
      <c r="C203" s="5"/>
      <c r="D203" s="5"/>
      <c r="E203" s="5"/>
      <c r="F203" s="5"/>
      <c r="G203" s="5"/>
      <c r="H203" s="5"/>
      <c r="I203" s="5"/>
      <c r="J203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N203"/>
  <sheetViews>
    <sheetView topLeftCell="A10" zoomScale="78" zoomScaleNormal="78" workbookViewId="0">
      <selection activeCell="B157" sqref="B157:J157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1" width="9" style="3"/>
    <col min="12" max="14" width="10.875" style="3" bestFit="1" customWidth="1"/>
    <col min="15" max="16384" width="9" style="3"/>
  </cols>
  <sheetData>
    <row r="3" spans="2:12" s="28" customFormat="1" ht="18" x14ac:dyDescent="0.35">
      <c r="B3" s="24"/>
      <c r="C3" s="24"/>
      <c r="D3" s="137" t="s">
        <v>38</v>
      </c>
      <c r="E3" s="137"/>
      <c r="F3" s="137"/>
      <c r="G3" s="137"/>
      <c r="H3" s="137"/>
      <c r="I3" s="137"/>
      <c r="J3" s="24"/>
      <c r="K3" s="29"/>
      <c r="L3" s="2"/>
    </row>
    <row r="4" spans="2:12" ht="15.9" customHeight="1" x14ac:dyDescent="0.3">
      <c r="B4" s="132" t="s">
        <v>89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28" t="s">
        <v>6</v>
      </c>
      <c r="E5" s="129"/>
      <c r="F5" s="129"/>
      <c r="G5" s="130"/>
      <c r="H5" s="120" t="s">
        <v>7</v>
      </c>
      <c r="I5" s="121"/>
      <c r="J5" s="4"/>
      <c r="K5" s="1"/>
      <c r="L5" s="2"/>
    </row>
    <row r="6" spans="2:12" x14ac:dyDescent="0.3">
      <c r="B6" s="12"/>
      <c r="C6" s="13"/>
      <c r="D6" s="124" t="s">
        <v>9</v>
      </c>
      <c r="E6" s="125"/>
      <c r="F6" s="125"/>
      <c r="G6" s="126"/>
      <c r="H6" s="122"/>
      <c r="I6" s="123"/>
      <c r="J6" s="4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15" t="s">
        <v>16</v>
      </c>
      <c r="I7" s="113" t="s">
        <v>17</v>
      </c>
      <c r="J7" s="17"/>
      <c r="K7" s="1"/>
      <c r="L7" s="2"/>
    </row>
    <row r="8" spans="2:12" ht="36.6" customHeight="1" x14ac:dyDescent="0.3">
      <c r="B8" s="112"/>
      <c r="C8" s="114"/>
      <c r="D8" s="117" t="s">
        <v>20</v>
      </c>
      <c r="E8" s="118"/>
      <c r="F8" s="118"/>
      <c r="G8" s="119"/>
      <c r="H8" s="116"/>
      <c r="I8" s="114"/>
      <c r="J8" s="17"/>
      <c r="K8" s="1"/>
    </row>
    <row r="9" spans="2:12" x14ac:dyDescent="0.3">
      <c r="B9" s="33">
        <v>4</v>
      </c>
      <c r="C9" s="31" t="s">
        <v>21</v>
      </c>
      <c r="D9" s="18">
        <v>386194</v>
      </c>
      <c r="E9" s="18">
        <v>0</v>
      </c>
      <c r="F9" s="36">
        <f>+D9+E9</f>
        <v>386194</v>
      </c>
      <c r="G9" s="18">
        <f>+F9</f>
        <v>386194</v>
      </c>
      <c r="H9" s="37">
        <f t="shared" ref="H9:H23" si="0">((G9-I9)/I9)*100</f>
        <v>25.312698491243466</v>
      </c>
      <c r="I9" s="18">
        <v>308184.25</v>
      </c>
      <c r="J9" s="19"/>
      <c r="K9" s="1"/>
    </row>
    <row r="10" spans="2:12" x14ac:dyDescent="0.3">
      <c r="B10" s="33">
        <v>5</v>
      </c>
      <c r="C10" s="31" t="s">
        <v>22</v>
      </c>
      <c r="D10" s="23">
        <v>472540.01</v>
      </c>
      <c r="E10" s="23">
        <v>0</v>
      </c>
      <c r="F10" s="40">
        <f>+E10+D10</f>
        <v>472540.01</v>
      </c>
      <c r="G10" s="23">
        <f>+G9+F10</f>
        <v>858734.01</v>
      </c>
      <c r="H10" s="41">
        <f t="shared" si="0"/>
        <v>-2.2520566578687125</v>
      </c>
      <c r="I10" s="23">
        <f>+I9+570334.5</f>
        <v>878518.75</v>
      </c>
      <c r="J10" s="19"/>
      <c r="K10" s="1"/>
    </row>
    <row r="11" spans="2:12" x14ac:dyDescent="0.3">
      <c r="B11" s="33">
        <v>6</v>
      </c>
      <c r="C11" s="31" t="s">
        <v>23</v>
      </c>
      <c r="D11" s="23">
        <v>518051.5</v>
      </c>
      <c r="E11" s="23">
        <v>0</v>
      </c>
      <c r="F11" s="40">
        <f>+E11+D11</f>
        <v>518051.5</v>
      </c>
      <c r="G11" s="23">
        <f t="shared" ref="G11:G21" si="1">+G10+F11</f>
        <v>1376785.51</v>
      </c>
      <c r="H11" s="41">
        <f t="shared" si="0"/>
        <v>12.154008005117301</v>
      </c>
      <c r="I11" s="23">
        <f>+I10+349066.01</f>
        <v>1227584.76</v>
      </c>
      <c r="J11" s="19"/>
      <c r="K11" s="1"/>
    </row>
    <row r="12" spans="2:12" x14ac:dyDescent="0.3">
      <c r="B12" s="33">
        <v>7</v>
      </c>
      <c r="C12" s="31" t="s">
        <v>24</v>
      </c>
      <c r="D12" s="23">
        <v>506029.52</v>
      </c>
      <c r="E12" s="23">
        <v>225496</v>
      </c>
      <c r="F12" s="40">
        <f t="shared" ref="F12:F24" si="2">+E12+D12</f>
        <v>731525.52</v>
      </c>
      <c r="G12" s="23">
        <f>+G11+F12</f>
        <v>2108311.0300000003</v>
      </c>
      <c r="H12" s="41">
        <f t="shared" si="0"/>
        <v>20.059303621414525</v>
      </c>
      <c r="I12" s="23">
        <f>+I11+528473.26</f>
        <v>1756058.02</v>
      </c>
      <c r="J12" s="19"/>
      <c r="K12" s="1"/>
    </row>
    <row r="13" spans="2:12" x14ac:dyDescent="0.3">
      <c r="B13" s="33">
        <v>8</v>
      </c>
      <c r="C13" s="31" t="s">
        <v>25</v>
      </c>
      <c r="D13" s="23">
        <v>327481.5</v>
      </c>
      <c r="E13" s="23">
        <v>0</v>
      </c>
      <c r="F13" s="40">
        <f t="shared" si="2"/>
        <v>327481.5</v>
      </c>
      <c r="G13" s="23">
        <f t="shared" si="1"/>
        <v>2435792.5300000003</v>
      </c>
      <c r="H13" s="41">
        <f t="shared" si="0"/>
        <v>18.488650014363365</v>
      </c>
      <c r="I13" s="23">
        <v>2055718.02</v>
      </c>
      <c r="J13" s="19"/>
      <c r="K13" s="1"/>
    </row>
    <row r="14" spans="2:12" x14ac:dyDescent="0.3">
      <c r="B14" s="33">
        <v>9</v>
      </c>
      <c r="C14" s="31" t="s">
        <v>26</v>
      </c>
      <c r="D14" s="23">
        <v>157341</v>
      </c>
      <c r="E14" s="23">
        <v>0</v>
      </c>
      <c r="F14" s="40">
        <f t="shared" si="2"/>
        <v>157341</v>
      </c>
      <c r="G14" s="23">
        <f t="shared" si="1"/>
        <v>2593133.5300000003</v>
      </c>
      <c r="H14" s="41">
        <f t="shared" si="0"/>
        <v>11.967401832043846</v>
      </c>
      <c r="I14" s="23">
        <f>+I13+260253.85</f>
        <v>2315971.87</v>
      </c>
      <c r="J14" s="19"/>
      <c r="K14" s="1"/>
    </row>
    <row r="15" spans="2:12" x14ac:dyDescent="0.3">
      <c r="B15" s="33">
        <v>10</v>
      </c>
      <c r="C15" s="31" t="s">
        <v>55</v>
      </c>
      <c r="D15" s="23">
        <v>648003.5</v>
      </c>
      <c r="E15" s="23">
        <v>0</v>
      </c>
      <c r="F15" s="40">
        <f t="shared" si="2"/>
        <v>648003.5</v>
      </c>
      <c r="G15" s="23">
        <f t="shared" si="1"/>
        <v>3241137.0300000003</v>
      </c>
      <c r="H15" s="41">
        <f t="shared" si="0"/>
        <v>15.25737845669371</v>
      </c>
      <c r="I15" s="23">
        <f>+I14+496114.5</f>
        <v>2812086.37</v>
      </c>
      <c r="J15" s="19"/>
      <c r="K15" s="1"/>
    </row>
    <row r="16" spans="2:12" x14ac:dyDescent="0.3">
      <c r="B16" s="33">
        <v>11</v>
      </c>
      <c r="C16" s="31" t="s">
        <v>56</v>
      </c>
      <c r="D16" s="23">
        <v>185132.5</v>
      </c>
      <c r="E16" s="23">
        <v>0</v>
      </c>
      <c r="F16" s="40">
        <f t="shared" si="2"/>
        <v>185132.5</v>
      </c>
      <c r="G16" s="23">
        <f t="shared" si="1"/>
        <v>3426269.5300000003</v>
      </c>
      <c r="H16" s="41">
        <f t="shared" si="0"/>
        <v>15.716153677295546</v>
      </c>
      <c r="I16" s="23">
        <f>+I15+148839.5</f>
        <v>2960925.87</v>
      </c>
      <c r="J16" s="19"/>
      <c r="K16" s="1"/>
    </row>
    <row r="17" spans="2:14" x14ac:dyDescent="0.3">
      <c r="B17" s="33">
        <v>12</v>
      </c>
      <c r="C17" s="31" t="s">
        <v>71</v>
      </c>
      <c r="D17" s="23">
        <v>105394.5</v>
      </c>
      <c r="E17" s="23">
        <v>0</v>
      </c>
      <c r="F17" s="40">
        <f t="shared" si="2"/>
        <v>105394.5</v>
      </c>
      <c r="G17" s="23">
        <f t="shared" si="1"/>
        <v>3531664.0300000003</v>
      </c>
      <c r="H17" s="41">
        <f t="shared" si="0"/>
        <v>18.083237992053348</v>
      </c>
      <c r="I17" s="23">
        <f>+I16+29900</f>
        <v>2990825.87</v>
      </c>
      <c r="J17" s="19"/>
      <c r="K17" s="1"/>
    </row>
    <row r="18" spans="2:14" x14ac:dyDescent="0.3">
      <c r="B18" s="33">
        <v>13</v>
      </c>
      <c r="C18" s="31" t="s">
        <v>57</v>
      </c>
      <c r="D18" s="23">
        <v>28497.5</v>
      </c>
      <c r="E18" s="23">
        <v>0</v>
      </c>
      <c r="F18" s="40">
        <f t="shared" si="2"/>
        <v>28497.5</v>
      </c>
      <c r="G18" s="23">
        <f t="shared" si="1"/>
        <v>3560161.5300000003</v>
      </c>
      <c r="H18" s="41">
        <f t="shared" si="0"/>
        <v>16.450110308086295</v>
      </c>
      <c r="I18" s="23">
        <v>3057241.87</v>
      </c>
      <c r="J18" s="19"/>
      <c r="K18" s="1"/>
    </row>
    <row r="19" spans="2:14" x14ac:dyDescent="0.3">
      <c r="B19" s="33">
        <v>14</v>
      </c>
      <c r="C19" s="49" t="s">
        <v>58</v>
      </c>
      <c r="D19" s="23">
        <v>895</v>
      </c>
      <c r="E19" s="23">
        <v>0</v>
      </c>
      <c r="F19" s="40">
        <f t="shared" si="2"/>
        <v>895</v>
      </c>
      <c r="G19" s="23">
        <f t="shared" si="1"/>
        <v>3561056.5300000003</v>
      </c>
      <c r="H19" s="41">
        <f t="shared" si="0"/>
        <v>16.465670855963996</v>
      </c>
      <c r="I19" s="23">
        <f>+I18+360</f>
        <v>3057601.87</v>
      </c>
      <c r="J19" s="19"/>
      <c r="K19" s="1"/>
    </row>
    <row r="20" spans="2:14" x14ac:dyDescent="0.3">
      <c r="B20" s="33">
        <v>15</v>
      </c>
      <c r="C20" s="31" t="s">
        <v>59</v>
      </c>
      <c r="D20" s="23">
        <v>4500</v>
      </c>
      <c r="E20" s="23">
        <v>0</v>
      </c>
      <c r="F20" s="40">
        <f t="shared" si="2"/>
        <v>4500</v>
      </c>
      <c r="G20" s="23">
        <f t="shared" si="1"/>
        <v>3565556.5300000003</v>
      </c>
      <c r="H20" s="41">
        <f t="shared" si="0"/>
        <v>16.212869423911453</v>
      </c>
      <c r="I20" s="23">
        <f>+I19+10523.5</f>
        <v>3068125.37</v>
      </c>
      <c r="J20" s="19"/>
      <c r="K20" s="1"/>
    </row>
    <row r="21" spans="2:14" x14ac:dyDescent="0.3">
      <c r="B21" s="33">
        <v>16</v>
      </c>
      <c r="C21" s="31" t="s">
        <v>60</v>
      </c>
      <c r="D21" s="23">
        <v>34768</v>
      </c>
      <c r="E21" s="23">
        <v>0</v>
      </c>
      <c r="F21" s="40">
        <f t="shared" si="2"/>
        <v>34768</v>
      </c>
      <c r="G21" s="23">
        <f t="shared" si="1"/>
        <v>3600324.5300000003</v>
      </c>
      <c r="H21" s="41">
        <f t="shared" si="0"/>
        <v>16.678636437598357</v>
      </c>
      <c r="I21" s="23">
        <v>3085675.87</v>
      </c>
      <c r="J21" s="19"/>
      <c r="K21" s="1"/>
    </row>
    <row r="22" spans="2:14" x14ac:dyDescent="0.3">
      <c r="B22" s="33">
        <v>17</v>
      </c>
      <c r="C22" s="31" t="s">
        <v>61</v>
      </c>
      <c r="D22" s="23">
        <v>879</v>
      </c>
      <c r="E22" s="23">
        <v>0</v>
      </c>
      <c r="F22" s="40">
        <f t="shared" si="2"/>
        <v>879</v>
      </c>
      <c r="G22" s="23">
        <f>+G21+F22</f>
        <v>3601203.5300000003</v>
      </c>
      <c r="H22" s="41">
        <f t="shared" si="0"/>
        <v>16.686910426005731</v>
      </c>
      <c r="I22" s="23">
        <v>3086210.37</v>
      </c>
      <c r="J22" s="19"/>
      <c r="K22" s="1"/>
    </row>
    <row r="23" spans="2:14" x14ac:dyDescent="0.3">
      <c r="B23" s="33">
        <v>18</v>
      </c>
      <c r="C23" s="31" t="s">
        <v>62</v>
      </c>
      <c r="D23" s="23">
        <v>228</v>
      </c>
      <c r="E23" s="23">
        <v>0</v>
      </c>
      <c r="F23" s="40">
        <f t="shared" si="2"/>
        <v>228</v>
      </c>
      <c r="G23" s="23">
        <f t="shared" ref="G23:G24" si="3">+G22+F23</f>
        <v>3601431.5300000003</v>
      </c>
      <c r="H23" s="41">
        <f t="shared" si="0"/>
        <v>15.608714147379704</v>
      </c>
      <c r="I23" s="23">
        <f>+I22+28980</f>
        <v>3115190.37</v>
      </c>
      <c r="J23" s="19"/>
      <c r="K23" s="1"/>
    </row>
    <row r="24" spans="2:14" x14ac:dyDescent="0.3">
      <c r="B24" s="33">
        <v>19</v>
      </c>
      <c r="C24" s="31" t="s">
        <v>63</v>
      </c>
      <c r="D24" s="23">
        <v>10036.5</v>
      </c>
      <c r="E24" s="23">
        <v>0</v>
      </c>
      <c r="F24" s="40">
        <f t="shared" si="2"/>
        <v>10036.5</v>
      </c>
      <c r="G24" s="23">
        <f t="shared" si="3"/>
        <v>3611468.0300000003</v>
      </c>
      <c r="H24" s="41">
        <f t="shared" ref="H24:H33" si="4">((G24-I24)/I24)*100</f>
        <v>15.930893494640591</v>
      </c>
      <c r="I24" s="23">
        <f>+I23+0</f>
        <v>3115190.37</v>
      </c>
      <c r="J24" s="19"/>
      <c r="K24" s="1"/>
      <c r="M24" s="32"/>
      <c r="N24" s="32"/>
    </row>
    <row r="25" spans="2:14" x14ac:dyDescent="0.3">
      <c r="B25" s="33">
        <v>20</v>
      </c>
      <c r="C25" s="31" t="s">
        <v>64</v>
      </c>
      <c r="D25" s="23">
        <v>0</v>
      </c>
      <c r="E25" s="23">
        <v>0</v>
      </c>
      <c r="F25" s="40">
        <f t="shared" ref="F25:F33" si="5">+E25+D25</f>
        <v>0</v>
      </c>
      <c r="G25" s="23">
        <f t="shared" ref="G25:G33" si="6">+G24+F25</f>
        <v>3611468.0300000003</v>
      </c>
      <c r="H25" s="41">
        <f t="shared" si="4"/>
        <v>15.930893494640591</v>
      </c>
      <c r="I25" s="23">
        <f>+I24+0</f>
        <v>3115190.37</v>
      </c>
      <c r="J25" s="19"/>
      <c r="K25" s="1"/>
      <c r="L25" s="32"/>
    </row>
    <row r="26" spans="2:14" x14ac:dyDescent="0.3">
      <c r="B26" s="33">
        <v>21</v>
      </c>
      <c r="C26" s="31" t="s">
        <v>65</v>
      </c>
      <c r="D26" s="23">
        <v>0</v>
      </c>
      <c r="E26" s="23">
        <v>0</v>
      </c>
      <c r="F26" s="40">
        <f t="shared" si="5"/>
        <v>0</v>
      </c>
      <c r="G26" s="23">
        <f t="shared" si="6"/>
        <v>3611468.0300000003</v>
      </c>
      <c r="H26" s="41">
        <f t="shared" si="4"/>
        <v>15.930893494640591</v>
      </c>
      <c r="I26" s="23">
        <f>+I25+0</f>
        <v>3115190.37</v>
      </c>
      <c r="J26" s="19"/>
      <c r="K26" s="1"/>
    </row>
    <row r="27" spans="2:14" x14ac:dyDescent="0.3">
      <c r="B27" s="33">
        <v>22</v>
      </c>
      <c r="C27" s="31" t="s">
        <v>66</v>
      </c>
      <c r="D27" s="23">
        <v>0</v>
      </c>
      <c r="E27" s="23">
        <v>0</v>
      </c>
      <c r="F27" s="40">
        <f t="shared" si="5"/>
        <v>0</v>
      </c>
      <c r="G27" s="23">
        <f t="shared" si="6"/>
        <v>3611468.0300000003</v>
      </c>
      <c r="H27" s="41">
        <f t="shared" si="4"/>
        <v>15.930893494640591</v>
      </c>
      <c r="I27" s="23">
        <f>+I26+0</f>
        <v>3115190.37</v>
      </c>
      <c r="J27" s="19"/>
      <c r="K27" s="1"/>
      <c r="M27" s="32"/>
      <c r="N27" s="32"/>
    </row>
    <row r="28" spans="2:14" x14ac:dyDescent="0.3">
      <c r="B28" s="33">
        <v>23</v>
      </c>
      <c r="C28" s="31" t="s">
        <v>76</v>
      </c>
      <c r="D28" s="23">
        <v>8871.5</v>
      </c>
      <c r="E28" s="23">
        <v>0</v>
      </c>
      <c r="F28" s="40">
        <f t="shared" si="5"/>
        <v>8871.5</v>
      </c>
      <c r="G28" s="23">
        <f t="shared" si="6"/>
        <v>3620339.5300000003</v>
      </c>
      <c r="H28" s="41">
        <f t="shared" si="4"/>
        <v>16.21567544843175</v>
      </c>
      <c r="I28" s="23">
        <f>+I27+0</f>
        <v>3115190.37</v>
      </c>
      <c r="J28" s="19"/>
      <c r="K28" s="1"/>
    </row>
    <row r="29" spans="2:14" x14ac:dyDescent="0.3">
      <c r="B29" s="33">
        <v>24</v>
      </c>
      <c r="C29" s="31" t="s">
        <v>68</v>
      </c>
      <c r="D29" s="23">
        <v>0</v>
      </c>
      <c r="E29" s="23">
        <v>0</v>
      </c>
      <c r="F29" s="40">
        <f t="shared" si="5"/>
        <v>0</v>
      </c>
      <c r="G29" s="23">
        <f t="shared" si="6"/>
        <v>3620339.5300000003</v>
      </c>
      <c r="H29" s="41">
        <f t="shared" si="4"/>
        <v>11.366265543926842</v>
      </c>
      <c r="I29" s="23">
        <f>+I28+135650.01</f>
        <v>3250840.38</v>
      </c>
      <c r="J29" s="19"/>
      <c r="K29" s="1"/>
    </row>
    <row r="30" spans="2:14" x14ac:dyDescent="0.3">
      <c r="B30" s="33">
        <v>25</v>
      </c>
      <c r="C30" s="31" t="s">
        <v>69</v>
      </c>
      <c r="D30" s="23">
        <v>0</v>
      </c>
      <c r="E30" s="23">
        <v>0</v>
      </c>
      <c r="F30" s="40">
        <f t="shared" si="5"/>
        <v>0</v>
      </c>
      <c r="G30" s="23">
        <f t="shared" si="6"/>
        <v>3620339.5300000003</v>
      </c>
      <c r="H30" s="41">
        <f t="shared" si="4"/>
        <v>11.366265543926842</v>
      </c>
      <c r="I30" s="23">
        <f>+I29+0</f>
        <v>3250840.38</v>
      </c>
      <c r="J30" s="19"/>
      <c r="K30" s="1"/>
    </row>
    <row r="31" spans="2:14" x14ac:dyDescent="0.3">
      <c r="B31" s="33">
        <v>26</v>
      </c>
      <c r="C31" s="31" t="s">
        <v>70</v>
      </c>
      <c r="D31" s="23">
        <v>0</v>
      </c>
      <c r="E31" s="23">
        <v>0</v>
      </c>
      <c r="F31" s="40">
        <f t="shared" si="5"/>
        <v>0</v>
      </c>
      <c r="G31" s="23">
        <f t="shared" si="6"/>
        <v>3620339.5300000003</v>
      </c>
      <c r="H31" s="41">
        <f t="shared" si="4"/>
        <v>11.366265543926842</v>
      </c>
      <c r="I31" s="23">
        <f>+I30+0</f>
        <v>3250840.38</v>
      </c>
      <c r="J31" s="19"/>
      <c r="K31" s="1"/>
    </row>
    <row r="32" spans="2:14" x14ac:dyDescent="0.3">
      <c r="B32" s="33">
        <v>27</v>
      </c>
      <c r="C32" s="31" t="s">
        <v>79</v>
      </c>
      <c r="D32" s="23">
        <v>0</v>
      </c>
      <c r="E32" s="23">
        <v>0</v>
      </c>
      <c r="F32" s="40">
        <f t="shared" si="5"/>
        <v>0</v>
      </c>
      <c r="G32" s="23">
        <f t="shared" si="6"/>
        <v>3620339.5300000003</v>
      </c>
      <c r="H32" s="41">
        <f t="shared" si="4"/>
        <v>11.366265543926842</v>
      </c>
      <c r="I32" s="23">
        <f>+I31+0</f>
        <v>3250840.38</v>
      </c>
      <c r="J32" s="19"/>
      <c r="K32" s="1"/>
    </row>
    <row r="33" spans="2:11" x14ac:dyDescent="0.3">
      <c r="B33" s="33">
        <v>28</v>
      </c>
      <c r="C33" s="31" t="s">
        <v>80</v>
      </c>
      <c r="D33" s="23">
        <v>0</v>
      </c>
      <c r="E33" s="23">
        <v>-21789</v>
      </c>
      <c r="F33" s="40">
        <f t="shared" si="5"/>
        <v>-21789</v>
      </c>
      <c r="G33" s="23">
        <f t="shared" si="6"/>
        <v>3598550.5300000003</v>
      </c>
      <c r="H33" s="41">
        <f t="shared" si="4"/>
        <v>10.696008088837644</v>
      </c>
      <c r="I33" s="23">
        <f>+I32+0</f>
        <v>3250840.38</v>
      </c>
      <c r="J33" s="19"/>
      <c r="K33" s="1"/>
    </row>
    <row r="34" spans="2:11" x14ac:dyDescent="0.3">
      <c r="B34" s="33">
        <v>29</v>
      </c>
      <c r="C34" s="31" t="s">
        <v>81</v>
      </c>
      <c r="D34" s="23">
        <v>0</v>
      </c>
      <c r="E34" s="23">
        <v>0</v>
      </c>
      <c r="F34" s="40">
        <f t="shared" ref="F34:F38" si="7">+E34+D34</f>
        <v>0</v>
      </c>
      <c r="G34" s="23">
        <f t="shared" ref="G34:G37" si="8">+G33+F34</f>
        <v>3598550.5300000003</v>
      </c>
      <c r="H34" s="41">
        <f t="shared" ref="H34:H37" si="9">((G34-I34)/I34)*100</f>
        <v>10.696008088837644</v>
      </c>
      <c r="I34" s="23">
        <f t="shared" ref="I34:I40" si="10">+I33+0</f>
        <v>3250840.38</v>
      </c>
      <c r="J34" s="19"/>
      <c r="K34" s="1"/>
    </row>
    <row r="35" spans="2:11" x14ac:dyDescent="0.3">
      <c r="B35" s="33">
        <v>30</v>
      </c>
      <c r="C35" s="31" t="s">
        <v>82</v>
      </c>
      <c r="D35" s="23">
        <v>0</v>
      </c>
      <c r="E35" s="23">
        <v>0</v>
      </c>
      <c r="F35" s="40">
        <f t="shared" si="7"/>
        <v>0</v>
      </c>
      <c r="G35" s="23">
        <f t="shared" si="8"/>
        <v>3598550.5300000003</v>
      </c>
      <c r="H35" s="41">
        <f t="shared" si="9"/>
        <v>10.696008088837644</v>
      </c>
      <c r="I35" s="23">
        <f t="shared" si="10"/>
        <v>3250840.38</v>
      </c>
      <c r="J35" s="19"/>
      <c r="K35" s="1"/>
    </row>
    <row r="36" spans="2:11" x14ac:dyDescent="0.3">
      <c r="B36" s="33">
        <v>31</v>
      </c>
      <c r="C36" s="31" t="s">
        <v>83</v>
      </c>
      <c r="D36" s="23">
        <v>0</v>
      </c>
      <c r="E36" s="23">
        <v>0</v>
      </c>
      <c r="F36" s="40">
        <f t="shared" si="7"/>
        <v>0</v>
      </c>
      <c r="G36" s="23">
        <f t="shared" si="8"/>
        <v>3598550.5300000003</v>
      </c>
      <c r="H36" s="41">
        <f t="shared" si="9"/>
        <v>10.696008088837644</v>
      </c>
      <c r="I36" s="23">
        <f t="shared" si="10"/>
        <v>3250840.38</v>
      </c>
      <c r="J36" s="19"/>
      <c r="K36" s="1"/>
    </row>
    <row r="37" spans="2:11" x14ac:dyDescent="0.3">
      <c r="B37" s="33">
        <v>32</v>
      </c>
      <c r="C37" s="31" t="s">
        <v>84</v>
      </c>
      <c r="D37" s="23">
        <v>0</v>
      </c>
      <c r="E37" s="23">
        <v>0</v>
      </c>
      <c r="F37" s="40">
        <f t="shared" si="7"/>
        <v>0</v>
      </c>
      <c r="G37" s="23">
        <f t="shared" si="8"/>
        <v>3598550.5300000003</v>
      </c>
      <c r="H37" s="41">
        <f t="shared" si="9"/>
        <v>10.696008088837644</v>
      </c>
      <c r="I37" s="23">
        <f t="shared" si="10"/>
        <v>3250840.38</v>
      </c>
      <c r="J37" s="19"/>
      <c r="K37" s="1"/>
    </row>
    <row r="38" spans="2:11" x14ac:dyDescent="0.3">
      <c r="B38" s="33">
        <v>33</v>
      </c>
      <c r="C38" s="31" t="s">
        <v>85</v>
      </c>
      <c r="D38" s="23">
        <v>0</v>
      </c>
      <c r="E38" s="23">
        <v>0</v>
      </c>
      <c r="F38" s="40">
        <f t="shared" si="7"/>
        <v>0</v>
      </c>
      <c r="G38" s="23">
        <f>+G37+F38</f>
        <v>3598550.5300000003</v>
      </c>
      <c r="H38" s="41">
        <f t="shared" ref="H38:H40" si="11">((G38-I38)/I38)*100</f>
        <v>10.696008088837644</v>
      </c>
      <c r="I38" s="23">
        <f t="shared" si="10"/>
        <v>3250840.38</v>
      </c>
      <c r="J38" s="19"/>
      <c r="K38" s="1"/>
    </row>
    <row r="39" spans="2:11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3598550.5300000003</v>
      </c>
      <c r="H39" s="41">
        <f t="shared" si="11"/>
        <v>10.696008088837644</v>
      </c>
      <c r="I39" s="23">
        <f t="shared" si="10"/>
        <v>3250840.38</v>
      </c>
      <c r="J39" s="19"/>
      <c r="K39" s="1"/>
    </row>
    <row r="40" spans="2:11" x14ac:dyDescent="0.3">
      <c r="B40" s="33">
        <v>35</v>
      </c>
      <c r="C40" s="67" t="s">
        <v>86</v>
      </c>
      <c r="D40" s="23">
        <v>0</v>
      </c>
      <c r="E40" s="23">
        <v>0</v>
      </c>
      <c r="F40" s="40">
        <f>+E40+D40</f>
        <v>0</v>
      </c>
      <c r="G40" s="40">
        <f>+G39+F40</f>
        <v>3598550.5300000003</v>
      </c>
      <c r="H40" s="41">
        <f t="shared" si="11"/>
        <v>10.696008088837644</v>
      </c>
      <c r="I40" s="23">
        <f t="shared" si="10"/>
        <v>3250840.38</v>
      </c>
      <c r="J40" s="19"/>
      <c r="K40" s="1"/>
    </row>
    <row r="41" spans="2:11" hidden="1" x14ac:dyDescent="0.3">
      <c r="B41" s="33">
        <v>36</v>
      </c>
      <c r="C41" s="31"/>
      <c r="D41" s="23"/>
      <c r="E41" s="23"/>
      <c r="F41" s="40"/>
      <c r="G41" s="23"/>
      <c r="H41" s="41"/>
      <c r="I41" s="23"/>
      <c r="J41" s="19"/>
      <c r="K41" s="1"/>
    </row>
    <row r="42" spans="2:11" hidden="1" x14ac:dyDescent="0.3">
      <c r="B42" s="33">
        <v>37</v>
      </c>
      <c r="C42" s="31"/>
      <c r="D42" s="23"/>
      <c r="E42" s="23"/>
      <c r="F42" s="40"/>
      <c r="G42" s="23"/>
      <c r="H42" s="41"/>
      <c r="I42" s="23"/>
      <c r="J42" s="19"/>
      <c r="K42" s="1"/>
    </row>
    <row r="43" spans="2:11" hidden="1" x14ac:dyDescent="0.3">
      <c r="B43" s="33">
        <v>38</v>
      </c>
      <c r="C43" s="31"/>
      <c r="D43" s="23"/>
      <c r="E43" s="23"/>
      <c r="F43" s="40"/>
      <c r="G43" s="23"/>
      <c r="H43" s="41"/>
      <c r="I43" s="23"/>
      <c r="J43" s="19"/>
      <c r="K43" s="1"/>
    </row>
    <row r="44" spans="2:11" hidden="1" x14ac:dyDescent="0.3">
      <c r="B44" s="33">
        <v>39</v>
      </c>
      <c r="C44" s="31"/>
      <c r="D44" s="23"/>
      <c r="E44" s="23"/>
      <c r="F44" s="40"/>
      <c r="G44" s="23"/>
      <c r="H44" s="41"/>
      <c r="I44" s="23"/>
      <c r="J44" s="19"/>
      <c r="K44" s="1"/>
    </row>
    <row r="45" spans="2:11" hidden="1" x14ac:dyDescent="0.3">
      <c r="B45" s="33">
        <v>40</v>
      </c>
      <c r="C45" s="31"/>
      <c r="D45" s="23"/>
      <c r="E45" s="23"/>
      <c r="F45" s="40"/>
      <c r="G45" s="23"/>
      <c r="H45" s="41"/>
      <c r="I45" s="23"/>
      <c r="J45" s="19"/>
      <c r="K45" s="1"/>
    </row>
    <row r="46" spans="2:11" x14ac:dyDescent="0.3">
      <c r="B46" s="5"/>
      <c r="C46" s="5"/>
      <c r="D46" s="6"/>
      <c r="E46" s="6"/>
      <c r="F46" s="6"/>
      <c r="G46" s="6"/>
      <c r="H46" s="7"/>
      <c r="I46" s="6"/>
      <c r="J46" s="5"/>
      <c r="K46" s="1"/>
    </row>
    <row r="47" spans="2:11" x14ac:dyDescent="0.3">
      <c r="B47" s="8" t="s">
        <v>27</v>
      </c>
      <c r="C47" s="5"/>
      <c r="D47" s="5"/>
      <c r="E47" s="5"/>
      <c r="F47" s="5"/>
      <c r="G47" s="5"/>
      <c r="H47" s="5"/>
      <c r="I47" s="5"/>
      <c r="J47" s="5"/>
      <c r="K47" s="1"/>
    </row>
    <row r="48" spans="2:11" x14ac:dyDescent="0.3">
      <c r="B48" s="9" t="s">
        <v>28</v>
      </c>
      <c r="C48" s="5"/>
      <c r="D48" s="5"/>
      <c r="E48" s="5"/>
      <c r="F48" s="5"/>
      <c r="G48" s="5"/>
      <c r="H48" s="5"/>
      <c r="I48" s="5"/>
      <c r="J48" s="5"/>
      <c r="K48" s="1"/>
    </row>
    <row r="49" spans="2:11" x14ac:dyDescent="0.3">
      <c r="B49" s="9" t="s">
        <v>29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">
      <c r="B50" s="9" t="s">
        <v>30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">
      <c r="B51" s="9"/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">
      <c r="B52" s="9"/>
      <c r="C52" s="5"/>
      <c r="D52" s="5"/>
      <c r="E52" s="5"/>
      <c r="F52" s="5"/>
      <c r="G52" s="5"/>
      <c r="H52" s="5"/>
      <c r="I52" s="5"/>
      <c r="J52" s="5"/>
      <c r="K52" s="1"/>
    </row>
    <row r="53" spans="2:11" ht="18" x14ac:dyDescent="0.35">
      <c r="B53" s="10"/>
      <c r="C53" s="10"/>
      <c r="D53" s="135" t="s">
        <v>31</v>
      </c>
      <c r="E53" s="135"/>
      <c r="F53" s="135"/>
      <c r="G53" s="135"/>
      <c r="H53" s="135"/>
      <c r="I53" s="135"/>
      <c r="J53" s="10"/>
    </row>
    <row r="54" spans="2:11" s="28" customFormat="1" ht="15.6" x14ac:dyDescent="0.3">
      <c r="B54" s="24"/>
      <c r="C54" s="24"/>
      <c r="D54" s="136" t="s">
        <v>38</v>
      </c>
      <c r="E54" s="136"/>
      <c r="F54" s="136"/>
      <c r="G54" s="136"/>
      <c r="H54" s="136"/>
      <c r="I54" s="136"/>
      <c r="J54" s="24"/>
    </row>
    <row r="55" spans="2:11" ht="15.9" customHeight="1" x14ac:dyDescent="0.3">
      <c r="B55" s="132" t="s">
        <v>89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28" t="s">
        <v>6</v>
      </c>
      <c r="E56" s="129"/>
      <c r="F56" s="129"/>
      <c r="G56" s="130"/>
      <c r="H56" s="120" t="s">
        <v>7</v>
      </c>
      <c r="I56" s="121"/>
      <c r="J56" s="4"/>
    </row>
    <row r="57" spans="2:11" x14ac:dyDescent="0.3">
      <c r="B57" s="12"/>
      <c r="C57" s="13"/>
      <c r="D57" s="124" t="s">
        <v>9</v>
      </c>
      <c r="E57" s="125"/>
      <c r="F57" s="125"/>
      <c r="G57" s="126"/>
      <c r="H57" s="122"/>
      <c r="I57" s="123"/>
      <c r="J57" s="4"/>
    </row>
    <row r="58" spans="2:11" ht="14.4" customHeight="1" x14ac:dyDescent="0.3">
      <c r="B58" s="111" t="s">
        <v>10</v>
      </c>
      <c r="C58" s="113" t="s">
        <v>11</v>
      </c>
      <c r="D58" s="16" t="s">
        <v>12</v>
      </c>
      <c r="E58" s="16" t="s">
        <v>13</v>
      </c>
      <c r="F58" s="16" t="s">
        <v>14</v>
      </c>
      <c r="G58" s="16" t="s">
        <v>15</v>
      </c>
      <c r="H58" s="115" t="s">
        <v>16</v>
      </c>
      <c r="I58" s="113" t="s">
        <v>17</v>
      </c>
      <c r="J58" s="17"/>
    </row>
    <row r="59" spans="2:11" ht="39" customHeight="1" x14ac:dyDescent="0.3">
      <c r="B59" s="112"/>
      <c r="C59" s="114"/>
      <c r="D59" s="117" t="s">
        <v>20</v>
      </c>
      <c r="E59" s="118"/>
      <c r="F59" s="118"/>
      <c r="G59" s="119"/>
      <c r="H59" s="116"/>
      <c r="I59" s="114"/>
      <c r="J59" s="17"/>
    </row>
    <row r="60" spans="2:11" x14ac:dyDescent="0.3">
      <c r="B60" s="33">
        <v>4</v>
      </c>
      <c r="C60" s="31" t="s">
        <v>21</v>
      </c>
      <c r="D60" s="18">
        <v>375651</v>
      </c>
      <c r="E60" s="18">
        <v>0</v>
      </c>
      <c r="F60" s="36">
        <f>+D60+E60</f>
        <v>375651</v>
      </c>
      <c r="G60" s="18">
        <f>+F60</f>
        <v>375651</v>
      </c>
      <c r="H60" s="37">
        <f t="shared" ref="H60:H67" si="12">((G60-I60)/I60)*100</f>
        <v>21.891693037525442</v>
      </c>
      <c r="I60" s="18">
        <v>308184.25</v>
      </c>
      <c r="J60" s="19"/>
    </row>
    <row r="61" spans="2:11" x14ac:dyDescent="0.3">
      <c r="B61" s="33">
        <v>5</v>
      </c>
      <c r="C61" s="31" t="s">
        <v>22</v>
      </c>
      <c r="D61" s="23">
        <v>461471.51</v>
      </c>
      <c r="E61" s="23">
        <v>0</v>
      </c>
      <c r="F61" s="40">
        <f>+E61+D61</f>
        <v>461471.51</v>
      </c>
      <c r="G61" s="23">
        <f>+G60+F61</f>
        <v>837122.51</v>
      </c>
      <c r="H61" s="41">
        <f t="shared" si="12"/>
        <v>-4.0687727384328527</v>
      </c>
      <c r="I61" s="23">
        <f>+I60+564443.5</f>
        <v>872627.75</v>
      </c>
      <c r="J61" s="19"/>
    </row>
    <row r="62" spans="2:11" x14ac:dyDescent="0.3">
      <c r="B62" s="33">
        <v>6</v>
      </c>
      <c r="C62" s="31" t="s">
        <v>23</v>
      </c>
      <c r="D62" s="23">
        <v>518051.5</v>
      </c>
      <c r="E62" s="23">
        <v>0</v>
      </c>
      <c r="F62" s="40">
        <f>+E62+D62</f>
        <v>518051.5</v>
      </c>
      <c r="G62" s="23">
        <f t="shared" ref="G62" si="13">+G61+F62</f>
        <v>1355174.01</v>
      </c>
      <c r="H62" s="41">
        <f t="shared" si="12"/>
        <v>10.925835456505892</v>
      </c>
      <c r="I62" s="23">
        <f>+I61+349066.01</f>
        <v>1221693.76</v>
      </c>
      <c r="J62" s="19"/>
    </row>
    <row r="63" spans="2:11" x14ac:dyDescent="0.3">
      <c r="B63" s="33">
        <v>7</v>
      </c>
      <c r="C63" s="31" t="s">
        <v>24</v>
      </c>
      <c r="D63" s="23">
        <v>499721.52</v>
      </c>
      <c r="E63" s="23">
        <v>225496</v>
      </c>
      <c r="F63" s="40">
        <f t="shared" ref="F63:F75" si="14">+E63+D63</f>
        <v>725217.52</v>
      </c>
      <c r="G63" s="23">
        <f>+G62+F63</f>
        <v>2080391.53</v>
      </c>
      <c r="H63" s="41">
        <f t="shared" si="12"/>
        <v>18.868171221738596</v>
      </c>
      <c r="I63" s="23">
        <f>+I62+528473.26</f>
        <v>1750167.02</v>
      </c>
      <c r="J63" s="19"/>
    </row>
    <row r="64" spans="2:11" x14ac:dyDescent="0.3">
      <c r="B64" s="33">
        <v>8</v>
      </c>
      <c r="C64" s="31" t="s">
        <v>25</v>
      </c>
      <c r="D64" s="23">
        <v>327481.5</v>
      </c>
      <c r="E64" s="23">
        <v>0</v>
      </c>
      <c r="F64" s="40">
        <f t="shared" si="14"/>
        <v>327481.5</v>
      </c>
      <c r="G64" s="23">
        <f t="shared" ref="G64:G75" si="15">+G63+F64</f>
        <v>2407873.0300000003</v>
      </c>
      <c r="H64" s="41">
        <f t="shared" si="12"/>
        <v>17.467132909585718</v>
      </c>
      <c r="I64" s="23">
        <v>2049827.02</v>
      </c>
      <c r="J64" s="19"/>
    </row>
    <row r="65" spans="2:10" x14ac:dyDescent="0.3">
      <c r="B65" s="33">
        <v>9</v>
      </c>
      <c r="C65" s="31" t="s">
        <v>26</v>
      </c>
      <c r="D65" s="23">
        <v>157341</v>
      </c>
      <c r="E65" s="23">
        <v>0</v>
      </c>
      <c r="F65" s="40">
        <f t="shared" si="14"/>
        <v>157341</v>
      </c>
      <c r="G65" s="23">
        <f t="shared" si="15"/>
        <v>2565214.0300000003</v>
      </c>
      <c r="H65" s="41">
        <f t="shared" si="12"/>
        <v>11.044338893642287</v>
      </c>
      <c r="I65" s="23">
        <f>+I64+260253.85</f>
        <v>2310080.87</v>
      </c>
      <c r="J65" s="19"/>
    </row>
    <row r="66" spans="2:10" x14ac:dyDescent="0.3">
      <c r="B66" s="33">
        <v>10</v>
      </c>
      <c r="C66" s="31" t="s">
        <v>55</v>
      </c>
      <c r="D66" s="23">
        <v>648003.5</v>
      </c>
      <c r="E66" s="23">
        <v>0</v>
      </c>
      <c r="F66" s="40">
        <f t="shared" si="14"/>
        <v>648003.5</v>
      </c>
      <c r="G66" s="23">
        <f t="shared" si="15"/>
        <v>3213217.5300000003</v>
      </c>
      <c r="H66" s="41">
        <f t="shared" si="12"/>
        <v>14.504412784345808</v>
      </c>
      <c r="I66" s="23">
        <f>+I65+496114.5</f>
        <v>2806195.37</v>
      </c>
      <c r="J66" s="19"/>
    </row>
    <row r="67" spans="2:10" x14ac:dyDescent="0.3">
      <c r="B67" s="33">
        <v>11</v>
      </c>
      <c r="C67" s="31" t="s">
        <v>56</v>
      </c>
      <c r="D67" s="23">
        <v>185132.5</v>
      </c>
      <c r="E67" s="23">
        <v>0</v>
      </c>
      <c r="F67" s="40">
        <f t="shared" si="14"/>
        <v>185132.5</v>
      </c>
      <c r="G67" s="23">
        <f t="shared" si="15"/>
        <v>3398350.0300000003</v>
      </c>
      <c r="H67" s="41">
        <f t="shared" si="12"/>
        <v>15.002028047134353</v>
      </c>
      <c r="I67" s="23">
        <f>+I66+148839.5</f>
        <v>2955034.87</v>
      </c>
      <c r="J67" s="19"/>
    </row>
    <row r="68" spans="2:10" x14ac:dyDescent="0.3">
      <c r="B68" s="33">
        <v>12</v>
      </c>
      <c r="C68" s="31" t="s">
        <v>71</v>
      </c>
      <c r="D68" s="23">
        <v>105394.5</v>
      </c>
      <c r="E68" s="23">
        <v>0</v>
      </c>
      <c r="F68" s="40">
        <f t="shared" si="14"/>
        <v>105394.5</v>
      </c>
      <c r="G68" s="23">
        <f t="shared" si="15"/>
        <v>3503744.5300000003</v>
      </c>
      <c r="H68" s="41">
        <f>((G68-I68)/I68)*100</f>
        <v>17.380937360284854</v>
      </c>
      <c r="I68" s="23">
        <f>+I67+29900</f>
        <v>2984934.87</v>
      </c>
      <c r="J68" s="19"/>
    </row>
    <row r="69" spans="2:10" x14ac:dyDescent="0.3">
      <c r="B69" s="33">
        <v>13</v>
      </c>
      <c r="C69" s="31" t="s">
        <v>57</v>
      </c>
      <c r="D69" s="23">
        <v>28497.5</v>
      </c>
      <c r="E69" s="23">
        <v>0</v>
      </c>
      <c r="F69" s="40">
        <f t="shared" si="14"/>
        <v>28497.5</v>
      </c>
      <c r="G69" s="23">
        <f t="shared" si="15"/>
        <v>3532242.0300000003</v>
      </c>
      <c r="H69" s="41">
        <f>((G69-I69)/I69)*100</f>
        <v>15.759943070722645</v>
      </c>
      <c r="I69" s="23">
        <v>3051350.87</v>
      </c>
      <c r="J69" s="19"/>
    </row>
    <row r="70" spans="2:10" x14ac:dyDescent="0.3">
      <c r="B70" s="33">
        <v>14</v>
      </c>
      <c r="C70" s="49" t="s">
        <v>58</v>
      </c>
      <c r="D70" s="23">
        <v>895</v>
      </c>
      <c r="E70" s="23">
        <v>0</v>
      </c>
      <c r="F70" s="40">
        <f t="shared" si="14"/>
        <v>895</v>
      </c>
      <c r="G70" s="23">
        <f t="shared" si="15"/>
        <v>3533137.0300000003</v>
      </c>
      <c r="H70" s="41">
        <f>((G70-I70)/I70)*100</f>
        <v>15.775615073258894</v>
      </c>
      <c r="I70" s="23">
        <f>+I69+360</f>
        <v>3051710.87</v>
      </c>
      <c r="J70" s="19"/>
    </row>
    <row r="71" spans="2:10" x14ac:dyDescent="0.3">
      <c r="B71" s="33">
        <v>15</v>
      </c>
      <c r="C71" s="31" t="s">
        <v>59</v>
      </c>
      <c r="D71" s="23">
        <v>4500</v>
      </c>
      <c r="E71" s="23">
        <v>0</v>
      </c>
      <c r="F71" s="40">
        <f t="shared" si="14"/>
        <v>4500</v>
      </c>
      <c r="G71" s="23">
        <f t="shared" si="15"/>
        <v>3537637.0300000003</v>
      </c>
      <c r="H71" s="41">
        <f>((G71-I71)/I71)*100</f>
        <v>15.524698718602655</v>
      </c>
      <c r="I71" s="23">
        <f>+I70+10523.5</f>
        <v>3062234.37</v>
      </c>
      <c r="J71" s="19"/>
    </row>
    <row r="72" spans="2:10" x14ac:dyDescent="0.3">
      <c r="B72" s="33">
        <v>16</v>
      </c>
      <c r="C72" s="31" t="s">
        <v>60</v>
      </c>
      <c r="D72" s="23">
        <v>34768</v>
      </c>
      <c r="E72" s="23">
        <v>0</v>
      </c>
      <c r="F72" s="40">
        <f t="shared" si="14"/>
        <v>34768</v>
      </c>
      <c r="G72" s="23">
        <f t="shared" si="15"/>
        <v>3572405.0300000003</v>
      </c>
      <c r="H72" s="41">
        <f t="shared" ref="H72:H75" si="16">((G72-I72)/I72)*100</f>
        <v>15.99527826760186</v>
      </c>
      <c r="I72" s="23">
        <v>3079784.87</v>
      </c>
      <c r="J72" s="19"/>
    </row>
    <row r="73" spans="2:10" x14ac:dyDescent="0.3">
      <c r="B73" s="33">
        <v>17</v>
      </c>
      <c r="C73" s="31" t="s">
        <v>61</v>
      </c>
      <c r="D73" s="23">
        <v>879</v>
      </c>
      <c r="E73" s="23">
        <v>0</v>
      </c>
      <c r="F73" s="40">
        <f t="shared" si="14"/>
        <v>879</v>
      </c>
      <c r="G73" s="23">
        <f t="shared" si="15"/>
        <v>3573284.0300000003</v>
      </c>
      <c r="H73" s="41">
        <f t="shared" si="16"/>
        <v>16.003686656685868</v>
      </c>
      <c r="I73" s="23">
        <v>3080319.37</v>
      </c>
      <c r="J73" s="19"/>
    </row>
    <row r="74" spans="2:10" x14ac:dyDescent="0.3">
      <c r="B74" s="33">
        <v>18</v>
      </c>
      <c r="C74" s="31" t="s">
        <v>62</v>
      </c>
      <c r="D74" s="23">
        <v>228</v>
      </c>
      <c r="E74" s="23">
        <v>0</v>
      </c>
      <c r="F74" s="40">
        <f t="shared" si="14"/>
        <v>228</v>
      </c>
      <c r="G74" s="23">
        <f t="shared" si="15"/>
        <v>3573512.0300000003</v>
      </c>
      <c r="H74" s="41">
        <f t="shared" si="16"/>
        <v>14.92981552303856</v>
      </c>
      <c r="I74" s="23">
        <f>+I73+28980</f>
        <v>3109299.37</v>
      </c>
      <c r="J74" s="19"/>
    </row>
    <row r="75" spans="2:10" x14ac:dyDescent="0.3">
      <c r="B75" s="33">
        <v>19</v>
      </c>
      <c r="C75" s="31" t="s">
        <v>63</v>
      </c>
      <c r="D75" s="23">
        <v>10036.5</v>
      </c>
      <c r="E75" s="23">
        <v>0</v>
      </c>
      <c r="F75" s="40">
        <f t="shared" si="14"/>
        <v>10036.5</v>
      </c>
      <c r="G75" s="23">
        <f t="shared" si="15"/>
        <v>3583548.5300000003</v>
      </c>
      <c r="H75" s="41">
        <f t="shared" si="16"/>
        <v>15.252605283871398</v>
      </c>
      <c r="I75" s="23">
        <f>+I74+0</f>
        <v>3109299.37</v>
      </c>
      <c r="J75" s="19"/>
    </row>
    <row r="76" spans="2:10" x14ac:dyDescent="0.3">
      <c r="B76" s="33">
        <v>20</v>
      </c>
      <c r="C76" s="31" t="s">
        <v>64</v>
      </c>
      <c r="D76" s="23">
        <v>0</v>
      </c>
      <c r="E76" s="23">
        <v>0</v>
      </c>
      <c r="F76" s="40">
        <f t="shared" ref="F76:F84" si="17">+E76+D76</f>
        <v>0</v>
      </c>
      <c r="G76" s="23">
        <f t="shared" ref="G76:G84" si="18">+G75+F76</f>
        <v>3583548.5300000003</v>
      </c>
      <c r="H76" s="41">
        <f t="shared" ref="H76:H78" si="19">((G76-I76)/I76)*100</f>
        <v>15.252605283871398</v>
      </c>
      <c r="I76" s="23">
        <f>+I75+0</f>
        <v>3109299.37</v>
      </c>
      <c r="J76" s="19"/>
    </row>
    <row r="77" spans="2:10" x14ac:dyDescent="0.3">
      <c r="B77" s="33">
        <v>21</v>
      </c>
      <c r="C77" s="31" t="s">
        <v>65</v>
      </c>
      <c r="D77" s="23">
        <v>0</v>
      </c>
      <c r="E77" s="23">
        <v>0</v>
      </c>
      <c r="F77" s="40">
        <f t="shared" si="17"/>
        <v>0</v>
      </c>
      <c r="G77" s="23">
        <f t="shared" si="18"/>
        <v>3583548.5300000003</v>
      </c>
      <c r="H77" s="41">
        <f t="shared" si="19"/>
        <v>15.252605283871398</v>
      </c>
      <c r="I77" s="23">
        <f>+I76+0</f>
        <v>3109299.37</v>
      </c>
      <c r="J77" s="19"/>
    </row>
    <row r="78" spans="2:10" x14ac:dyDescent="0.3">
      <c r="B78" s="33">
        <v>22</v>
      </c>
      <c r="C78" s="31" t="s">
        <v>66</v>
      </c>
      <c r="D78" s="23">
        <v>0</v>
      </c>
      <c r="E78" s="23">
        <v>0</v>
      </c>
      <c r="F78" s="40">
        <f t="shared" si="17"/>
        <v>0</v>
      </c>
      <c r="G78" s="23">
        <f t="shared" si="18"/>
        <v>3583548.5300000003</v>
      </c>
      <c r="H78" s="41">
        <f t="shared" si="19"/>
        <v>15.252605283871398</v>
      </c>
      <c r="I78" s="23">
        <f>+I77+0</f>
        <v>3109299.37</v>
      </c>
      <c r="J78" s="19"/>
    </row>
    <row r="79" spans="2:10" x14ac:dyDescent="0.3">
      <c r="B79" s="33">
        <v>23</v>
      </c>
      <c r="C79" s="31" t="s">
        <v>76</v>
      </c>
      <c r="D79" s="23">
        <v>8871.5</v>
      </c>
      <c r="E79" s="23">
        <v>0</v>
      </c>
      <c r="F79" s="40">
        <f t="shared" si="17"/>
        <v>8871.5</v>
      </c>
      <c r="G79" s="23">
        <f t="shared" si="18"/>
        <v>3592420.0300000003</v>
      </c>
      <c r="H79" s="41">
        <f t="shared" ref="H79:H84" si="20">((G79-I79)/I79)*100</f>
        <v>15.537926796672529</v>
      </c>
      <c r="I79" s="23">
        <f>+I78+0</f>
        <v>3109299.37</v>
      </c>
      <c r="J79" s="19"/>
    </row>
    <row r="80" spans="2:10" x14ac:dyDescent="0.3">
      <c r="B80" s="33">
        <v>24</v>
      </c>
      <c r="C80" s="31" t="s">
        <v>68</v>
      </c>
      <c r="D80" s="23">
        <v>0</v>
      </c>
      <c r="E80" s="23">
        <v>0</v>
      </c>
      <c r="F80" s="40">
        <f t="shared" si="17"/>
        <v>0</v>
      </c>
      <c r="G80" s="23">
        <f t="shared" si="18"/>
        <v>3592420.0300000003</v>
      </c>
      <c r="H80" s="41">
        <f t="shared" si="20"/>
        <v>10.708045313175282</v>
      </c>
      <c r="I80" s="23">
        <f>+I79+135650.01</f>
        <v>3244949.38</v>
      </c>
      <c r="J80" s="19"/>
    </row>
    <row r="81" spans="2:10" x14ac:dyDescent="0.3">
      <c r="B81" s="33">
        <v>25</v>
      </c>
      <c r="C81" s="67" t="s">
        <v>69</v>
      </c>
      <c r="D81" s="23">
        <v>0</v>
      </c>
      <c r="E81" s="23">
        <v>0</v>
      </c>
      <c r="F81" s="40">
        <f t="shared" si="17"/>
        <v>0</v>
      </c>
      <c r="G81" s="23">
        <f t="shared" si="18"/>
        <v>3592420.0300000003</v>
      </c>
      <c r="H81" s="41">
        <f t="shared" si="20"/>
        <v>10.708045313175282</v>
      </c>
      <c r="I81" s="23">
        <f>+I80+0</f>
        <v>3244949.38</v>
      </c>
      <c r="J81" s="19"/>
    </row>
    <row r="82" spans="2:10" x14ac:dyDescent="0.3">
      <c r="B82" s="33">
        <v>26</v>
      </c>
      <c r="C82" s="67" t="s">
        <v>70</v>
      </c>
      <c r="D82" s="23">
        <v>0</v>
      </c>
      <c r="E82" s="23">
        <v>0</v>
      </c>
      <c r="F82" s="40">
        <f t="shared" si="17"/>
        <v>0</v>
      </c>
      <c r="G82" s="23">
        <f t="shared" si="18"/>
        <v>3592420.0300000003</v>
      </c>
      <c r="H82" s="41">
        <f t="shared" si="20"/>
        <v>10.708045313175282</v>
      </c>
      <c r="I82" s="23">
        <f>+I81+0</f>
        <v>3244949.38</v>
      </c>
      <c r="J82" s="19"/>
    </row>
    <row r="83" spans="2:10" x14ac:dyDescent="0.3">
      <c r="B83" s="33">
        <v>27</v>
      </c>
      <c r="C83" s="67" t="s">
        <v>79</v>
      </c>
      <c r="D83" s="23">
        <v>0</v>
      </c>
      <c r="E83" s="23">
        <v>0</v>
      </c>
      <c r="F83" s="40">
        <f t="shared" si="17"/>
        <v>0</v>
      </c>
      <c r="G83" s="23">
        <f t="shared" si="18"/>
        <v>3592420.0300000003</v>
      </c>
      <c r="H83" s="41">
        <f t="shared" si="20"/>
        <v>10.708045313175282</v>
      </c>
      <c r="I83" s="23">
        <f>+I82+0</f>
        <v>3244949.38</v>
      </c>
      <c r="J83" s="19"/>
    </row>
    <row r="84" spans="2:10" x14ac:dyDescent="0.3">
      <c r="B84" s="33">
        <v>28</v>
      </c>
      <c r="C84" s="67" t="s">
        <v>80</v>
      </c>
      <c r="D84" s="23">
        <v>0</v>
      </c>
      <c r="E84" s="23">
        <v>-21789</v>
      </c>
      <c r="F84" s="40">
        <f t="shared" si="17"/>
        <v>-21789</v>
      </c>
      <c r="G84" s="23">
        <f t="shared" si="18"/>
        <v>3570631.0300000003</v>
      </c>
      <c r="H84" s="41">
        <f t="shared" si="20"/>
        <v>10.036571048143758</v>
      </c>
      <c r="I84" s="23">
        <f>+I83+0</f>
        <v>3244949.38</v>
      </c>
      <c r="J84" s="19"/>
    </row>
    <row r="85" spans="2:10" x14ac:dyDescent="0.3">
      <c r="B85" s="33">
        <v>29</v>
      </c>
      <c r="C85" s="67" t="s">
        <v>81</v>
      </c>
      <c r="D85" s="23">
        <v>0</v>
      </c>
      <c r="E85" s="23">
        <v>0</v>
      </c>
      <c r="F85" s="40">
        <f t="shared" ref="F85:F89" si="21">+E85+D85</f>
        <v>0</v>
      </c>
      <c r="G85" s="23">
        <f t="shared" ref="G85:G88" si="22">+G84+F85</f>
        <v>3570631.0300000003</v>
      </c>
      <c r="H85" s="41">
        <f t="shared" ref="H85:H91" si="23">((G85-I85)/I85)*100</f>
        <v>10.036571048143758</v>
      </c>
      <c r="I85" s="23">
        <f t="shared" ref="I85:I91" si="24">+I84+0</f>
        <v>3244949.38</v>
      </c>
      <c r="J85" s="19"/>
    </row>
    <row r="86" spans="2:10" x14ac:dyDescent="0.3">
      <c r="B86" s="33">
        <v>30</v>
      </c>
      <c r="C86" s="67" t="s">
        <v>82</v>
      </c>
      <c r="D86" s="23">
        <v>0</v>
      </c>
      <c r="E86" s="23">
        <v>0</v>
      </c>
      <c r="F86" s="40">
        <f t="shared" si="21"/>
        <v>0</v>
      </c>
      <c r="G86" s="23">
        <f t="shared" si="22"/>
        <v>3570631.0300000003</v>
      </c>
      <c r="H86" s="41">
        <f t="shared" si="23"/>
        <v>10.036571048143758</v>
      </c>
      <c r="I86" s="23">
        <f t="shared" si="24"/>
        <v>3244949.38</v>
      </c>
      <c r="J86" s="19"/>
    </row>
    <row r="87" spans="2:10" x14ac:dyDescent="0.3">
      <c r="B87" s="33">
        <v>31</v>
      </c>
      <c r="C87" s="67" t="s">
        <v>83</v>
      </c>
      <c r="D87" s="23">
        <v>0</v>
      </c>
      <c r="E87" s="23">
        <v>0</v>
      </c>
      <c r="F87" s="40">
        <f t="shared" si="21"/>
        <v>0</v>
      </c>
      <c r="G87" s="23">
        <f t="shared" si="22"/>
        <v>3570631.0300000003</v>
      </c>
      <c r="H87" s="41">
        <f t="shared" si="23"/>
        <v>10.036571048143758</v>
      </c>
      <c r="I87" s="23">
        <f t="shared" si="24"/>
        <v>3244949.38</v>
      </c>
      <c r="J87" s="19"/>
    </row>
    <row r="88" spans="2:10" x14ac:dyDescent="0.3">
      <c r="B88" s="33">
        <v>32</v>
      </c>
      <c r="C88" s="67" t="s">
        <v>84</v>
      </c>
      <c r="D88" s="23">
        <v>0</v>
      </c>
      <c r="E88" s="23">
        <v>0</v>
      </c>
      <c r="F88" s="40">
        <f t="shared" si="21"/>
        <v>0</v>
      </c>
      <c r="G88" s="23">
        <f t="shared" si="22"/>
        <v>3570631.0300000003</v>
      </c>
      <c r="H88" s="41">
        <f t="shared" si="23"/>
        <v>10.036571048143758</v>
      </c>
      <c r="I88" s="23">
        <f t="shared" si="24"/>
        <v>3244949.38</v>
      </c>
      <c r="J88" s="19"/>
    </row>
    <row r="89" spans="2:10" x14ac:dyDescent="0.3">
      <c r="B89" s="33">
        <v>33</v>
      </c>
      <c r="C89" s="31" t="s">
        <v>85</v>
      </c>
      <c r="D89" s="23">
        <v>0</v>
      </c>
      <c r="E89" s="23">
        <v>0</v>
      </c>
      <c r="F89" s="40">
        <f t="shared" si="21"/>
        <v>0</v>
      </c>
      <c r="G89" s="23">
        <f>+G88+F89</f>
        <v>3570631.0300000003</v>
      </c>
      <c r="H89" s="41">
        <f t="shared" si="23"/>
        <v>10.036571048143758</v>
      </c>
      <c r="I89" s="23">
        <f t="shared" si="24"/>
        <v>3244949.38</v>
      </c>
      <c r="J89" s="19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3570631.0300000003</v>
      </c>
      <c r="H90" s="41">
        <f t="shared" si="23"/>
        <v>10.036571048143758</v>
      </c>
      <c r="I90" s="23">
        <f t="shared" si="24"/>
        <v>3244949.38</v>
      </c>
      <c r="J90" s="19"/>
    </row>
    <row r="91" spans="2:10" x14ac:dyDescent="0.3">
      <c r="B91" s="33">
        <v>35</v>
      </c>
      <c r="C91" s="67" t="s">
        <v>86</v>
      </c>
      <c r="D91" s="23">
        <v>0</v>
      </c>
      <c r="E91" s="23">
        <v>0</v>
      </c>
      <c r="F91" s="40">
        <f>+E91+D91</f>
        <v>0</v>
      </c>
      <c r="G91" s="40">
        <f>+G90+F91</f>
        <v>3570631.0300000003</v>
      </c>
      <c r="H91" s="41">
        <f t="shared" si="23"/>
        <v>10.036571048143758</v>
      </c>
      <c r="I91" s="23">
        <f t="shared" si="24"/>
        <v>3244949.38</v>
      </c>
      <c r="J91" s="19"/>
    </row>
    <row r="92" spans="2:10" hidden="1" x14ac:dyDescent="0.3">
      <c r="B92" s="33">
        <v>36</v>
      </c>
      <c r="C92" s="67"/>
      <c r="D92" s="23"/>
      <c r="E92" s="23"/>
      <c r="F92" s="40"/>
      <c r="G92" s="23"/>
      <c r="H92" s="41"/>
      <c r="I92" s="23"/>
      <c r="J92" s="19"/>
    </row>
    <row r="93" spans="2:10" hidden="1" x14ac:dyDescent="0.3">
      <c r="B93" s="33">
        <v>37</v>
      </c>
      <c r="C93" s="67"/>
      <c r="D93" s="23"/>
      <c r="E93" s="23"/>
      <c r="F93" s="40"/>
      <c r="G93" s="23"/>
      <c r="H93" s="41"/>
      <c r="I93" s="23"/>
      <c r="J93" s="19"/>
    </row>
    <row r="94" spans="2:10" hidden="1" x14ac:dyDescent="0.3">
      <c r="B94" s="33">
        <v>38</v>
      </c>
      <c r="C94" s="67"/>
      <c r="D94" s="23"/>
      <c r="E94" s="23"/>
      <c r="F94" s="40"/>
      <c r="G94" s="23"/>
      <c r="H94" s="41"/>
      <c r="I94" s="23"/>
      <c r="J94" s="19"/>
    </row>
    <row r="95" spans="2:10" hidden="1" x14ac:dyDescent="0.3">
      <c r="B95" s="33">
        <v>39</v>
      </c>
      <c r="C95" s="67"/>
      <c r="D95" s="23"/>
      <c r="E95" s="23"/>
      <c r="F95" s="40"/>
      <c r="G95" s="23"/>
      <c r="H95" s="41"/>
      <c r="I95" s="23"/>
      <c r="J95" s="19"/>
    </row>
    <row r="96" spans="2:10" hidden="1" x14ac:dyDescent="0.3">
      <c r="B96" s="33">
        <v>40</v>
      </c>
      <c r="C96" s="67"/>
      <c r="D96" s="23"/>
      <c r="E96" s="23"/>
      <c r="F96" s="40"/>
      <c r="G96" s="23"/>
      <c r="H96" s="41"/>
      <c r="I96" s="23"/>
      <c r="J96" s="19"/>
    </row>
    <row r="97" spans="2:10" x14ac:dyDescent="0.3">
      <c r="B97" s="76"/>
      <c r="C97" s="77"/>
      <c r="D97" s="35"/>
      <c r="E97" s="35"/>
      <c r="F97" s="47"/>
      <c r="G97" s="47"/>
      <c r="H97" s="62"/>
      <c r="I97" s="35"/>
      <c r="J97" s="10"/>
    </row>
    <row r="98" spans="2:10" x14ac:dyDescent="0.3">
      <c r="B98" s="8" t="s">
        <v>27</v>
      </c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9" t="s">
        <v>28</v>
      </c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9" t="s">
        <v>29</v>
      </c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9" t="s">
        <v>30</v>
      </c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ht="18" x14ac:dyDescent="0.35">
      <c r="B104" s="10"/>
      <c r="C104" s="10"/>
      <c r="D104" s="133" t="s">
        <v>33</v>
      </c>
      <c r="E104" s="133"/>
      <c r="F104" s="133"/>
      <c r="G104" s="133"/>
      <c r="H104" s="133"/>
      <c r="I104" s="133"/>
      <c r="J104" s="10"/>
    </row>
    <row r="105" spans="2:10" s="28" customFormat="1" ht="15.6" x14ac:dyDescent="0.3">
      <c r="B105" s="24"/>
      <c r="C105" s="24"/>
      <c r="D105" s="134" t="s">
        <v>38</v>
      </c>
      <c r="E105" s="134"/>
      <c r="F105" s="134"/>
      <c r="G105" s="134"/>
      <c r="H105" s="134"/>
      <c r="I105" s="134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28" t="s">
        <v>6</v>
      </c>
      <c r="E107" s="129"/>
      <c r="F107" s="129"/>
      <c r="G107" s="130"/>
      <c r="H107" s="120" t="s">
        <v>7</v>
      </c>
      <c r="I107" s="121"/>
      <c r="J107" s="4"/>
    </row>
    <row r="108" spans="2:10" x14ac:dyDescent="0.3">
      <c r="B108" s="12"/>
      <c r="C108" s="13"/>
      <c r="D108" s="124" t="s">
        <v>9</v>
      </c>
      <c r="E108" s="125"/>
      <c r="F108" s="125"/>
      <c r="G108" s="126"/>
      <c r="H108" s="122"/>
      <c r="I108" s="123"/>
      <c r="J108" s="4"/>
    </row>
    <row r="109" spans="2:10" ht="14.4" customHeight="1" x14ac:dyDescent="0.3">
      <c r="B109" s="111" t="s">
        <v>10</v>
      </c>
      <c r="C109" s="113" t="s">
        <v>11</v>
      </c>
      <c r="D109" s="16" t="s">
        <v>12</v>
      </c>
      <c r="E109" s="16" t="s">
        <v>13</v>
      </c>
      <c r="F109" s="16" t="s">
        <v>14</v>
      </c>
      <c r="G109" s="16" t="s">
        <v>15</v>
      </c>
      <c r="H109" s="115" t="s">
        <v>16</v>
      </c>
      <c r="I109" s="113" t="s">
        <v>17</v>
      </c>
      <c r="J109" s="17"/>
    </row>
    <row r="110" spans="2:10" ht="40.35" customHeight="1" x14ac:dyDescent="0.3">
      <c r="B110" s="112"/>
      <c r="C110" s="114"/>
      <c r="D110" s="117" t="s">
        <v>20</v>
      </c>
      <c r="E110" s="118"/>
      <c r="F110" s="118"/>
      <c r="G110" s="119"/>
      <c r="H110" s="116"/>
      <c r="I110" s="114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e">
        <f t="shared" ref="H111:H126" si="25">((G111-I111)/I111)*100</f>
        <v>#DIV/0!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0</v>
      </c>
      <c r="E112" s="23">
        <v>0</v>
      </c>
      <c r="F112" s="40">
        <f>+E112+D112</f>
        <v>0</v>
      </c>
      <c r="G112" s="23">
        <f>+G111+F112</f>
        <v>0</v>
      </c>
      <c r="H112" s="41" t="e">
        <f t="shared" si="25"/>
        <v>#DIV/0!</v>
      </c>
      <c r="I112" s="23">
        <v>0</v>
      </c>
      <c r="J112" s="19"/>
    </row>
    <row r="113" spans="2:10" x14ac:dyDescent="0.3">
      <c r="B113" s="33">
        <v>6</v>
      </c>
      <c r="C113" s="31" t="s">
        <v>23</v>
      </c>
      <c r="D113" s="23">
        <v>0</v>
      </c>
      <c r="E113" s="23">
        <v>0</v>
      </c>
      <c r="F113" s="40">
        <f>+E113+D113</f>
        <v>0</v>
      </c>
      <c r="G113" s="23">
        <f t="shared" ref="G113" si="26">+G112+F113</f>
        <v>0</v>
      </c>
      <c r="H113" s="41" t="e">
        <f t="shared" si="25"/>
        <v>#DIV/0!</v>
      </c>
      <c r="I113" s="23">
        <v>0</v>
      </c>
      <c r="J113" s="19"/>
    </row>
    <row r="114" spans="2:10" x14ac:dyDescent="0.3">
      <c r="B114" s="33">
        <v>7</v>
      </c>
      <c r="C114" s="31" t="s">
        <v>24</v>
      </c>
      <c r="D114" s="23">
        <v>3184.5</v>
      </c>
      <c r="E114" s="23">
        <v>0</v>
      </c>
      <c r="F114" s="40">
        <f t="shared" ref="F114:F126" si="27">+E114+D114</f>
        <v>3184.5</v>
      </c>
      <c r="G114" s="23">
        <f>+G113+F114</f>
        <v>3184.5</v>
      </c>
      <c r="H114" s="41" t="e">
        <f t="shared" si="25"/>
        <v>#DIV/0!</v>
      </c>
      <c r="I114" s="23">
        <v>0</v>
      </c>
      <c r="J114" s="19"/>
    </row>
    <row r="115" spans="2:10" x14ac:dyDescent="0.3">
      <c r="B115" s="33">
        <v>8</v>
      </c>
      <c r="C115" s="31" t="s">
        <v>25</v>
      </c>
      <c r="D115" s="23">
        <v>0</v>
      </c>
      <c r="E115" s="23">
        <v>0</v>
      </c>
      <c r="F115" s="40">
        <f t="shared" si="27"/>
        <v>0</v>
      </c>
      <c r="G115" s="23">
        <f t="shared" ref="G115:G126" si="28">+G114+F115</f>
        <v>3184.5</v>
      </c>
      <c r="H115" s="41" t="e">
        <f t="shared" si="25"/>
        <v>#DIV/0!</v>
      </c>
      <c r="I115" s="23">
        <v>0</v>
      </c>
      <c r="J115" s="19"/>
    </row>
    <row r="116" spans="2:10" x14ac:dyDescent="0.3">
      <c r="B116" s="33">
        <v>9</v>
      </c>
      <c r="C116" s="31" t="s">
        <v>26</v>
      </c>
      <c r="D116" s="23">
        <v>0</v>
      </c>
      <c r="E116" s="23">
        <v>0</v>
      </c>
      <c r="F116" s="40">
        <f t="shared" si="27"/>
        <v>0</v>
      </c>
      <c r="G116" s="23">
        <f t="shared" si="28"/>
        <v>3184.5</v>
      </c>
      <c r="H116" s="41" t="e">
        <f t="shared" si="25"/>
        <v>#DIV/0!</v>
      </c>
      <c r="I116" s="23">
        <v>0</v>
      </c>
      <c r="J116" s="19"/>
    </row>
    <row r="117" spans="2:10" x14ac:dyDescent="0.3">
      <c r="B117" s="33">
        <v>10</v>
      </c>
      <c r="C117" s="31" t="s">
        <v>55</v>
      </c>
      <c r="D117" s="23">
        <v>0</v>
      </c>
      <c r="E117" s="23">
        <v>0</v>
      </c>
      <c r="F117" s="40">
        <f t="shared" si="27"/>
        <v>0</v>
      </c>
      <c r="G117" s="23">
        <f t="shared" si="28"/>
        <v>3184.5</v>
      </c>
      <c r="H117" s="41" t="e">
        <f t="shared" si="25"/>
        <v>#DIV/0!</v>
      </c>
      <c r="I117" s="23">
        <v>0</v>
      </c>
      <c r="J117" s="19"/>
    </row>
    <row r="118" spans="2:10" x14ac:dyDescent="0.3">
      <c r="B118" s="33">
        <v>11</v>
      </c>
      <c r="C118" s="31" t="s">
        <v>56</v>
      </c>
      <c r="D118" s="23">
        <v>0</v>
      </c>
      <c r="E118" s="23">
        <v>0</v>
      </c>
      <c r="F118" s="40">
        <f t="shared" si="27"/>
        <v>0</v>
      </c>
      <c r="G118" s="23">
        <f t="shared" si="28"/>
        <v>3184.5</v>
      </c>
      <c r="H118" s="41" t="e">
        <f t="shared" si="25"/>
        <v>#DIV/0!</v>
      </c>
      <c r="I118" s="23">
        <v>0</v>
      </c>
      <c r="J118" s="19"/>
    </row>
    <row r="119" spans="2:10" x14ac:dyDescent="0.3">
      <c r="B119" s="33">
        <v>12</v>
      </c>
      <c r="C119" s="31" t="s">
        <v>71</v>
      </c>
      <c r="D119" s="23">
        <v>0</v>
      </c>
      <c r="E119" s="23">
        <v>0</v>
      </c>
      <c r="F119" s="40">
        <f t="shared" si="27"/>
        <v>0</v>
      </c>
      <c r="G119" s="23">
        <f t="shared" si="28"/>
        <v>3184.5</v>
      </c>
      <c r="H119" s="41" t="e">
        <f t="shared" si="25"/>
        <v>#DIV/0!</v>
      </c>
      <c r="I119" s="23">
        <v>0</v>
      </c>
      <c r="J119" s="19"/>
    </row>
    <row r="120" spans="2:10" x14ac:dyDescent="0.3">
      <c r="B120" s="33">
        <v>13</v>
      </c>
      <c r="C120" s="31" t="s">
        <v>57</v>
      </c>
      <c r="D120" s="23">
        <v>0</v>
      </c>
      <c r="E120" s="23">
        <v>0</v>
      </c>
      <c r="F120" s="40">
        <f t="shared" si="27"/>
        <v>0</v>
      </c>
      <c r="G120" s="23">
        <f t="shared" si="28"/>
        <v>3184.5</v>
      </c>
      <c r="H120" s="41" t="e">
        <f t="shared" si="25"/>
        <v>#DIV/0!</v>
      </c>
      <c r="I120" s="23">
        <v>0</v>
      </c>
      <c r="J120" s="19"/>
    </row>
    <row r="121" spans="2:10" x14ac:dyDescent="0.3">
      <c r="B121" s="33">
        <v>14</v>
      </c>
      <c r="C121" s="49" t="s">
        <v>58</v>
      </c>
      <c r="D121" s="23">
        <v>0</v>
      </c>
      <c r="E121" s="23">
        <v>0</v>
      </c>
      <c r="F121" s="40">
        <f t="shared" si="27"/>
        <v>0</v>
      </c>
      <c r="G121" s="23">
        <f t="shared" si="28"/>
        <v>3184.5</v>
      </c>
      <c r="H121" s="41" t="e">
        <f t="shared" si="25"/>
        <v>#DIV/0!</v>
      </c>
      <c r="I121" s="23">
        <v>0</v>
      </c>
      <c r="J121" s="19"/>
    </row>
    <row r="122" spans="2:10" x14ac:dyDescent="0.3">
      <c r="B122" s="33">
        <v>15</v>
      </c>
      <c r="C122" s="31" t="s">
        <v>59</v>
      </c>
      <c r="D122" s="23">
        <v>0</v>
      </c>
      <c r="E122" s="23">
        <v>0</v>
      </c>
      <c r="F122" s="40">
        <f t="shared" si="27"/>
        <v>0</v>
      </c>
      <c r="G122" s="23">
        <f t="shared" si="28"/>
        <v>3184.5</v>
      </c>
      <c r="H122" s="41" t="e">
        <f t="shared" si="25"/>
        <v>#DIV/0!</v>
      </c>
      <c r="I122" s="23">
        <v>0</v>
      </c>
      <c r="J122" s="19"/>
    </row>
    <row r="123" spans="2:10" x14ac:dyDescent="0.3">
      <c r="B123" s="33">
        <v>16</v>
      </c>
      <c r="C123" s="31" t="s">
        <v>60</v>
      </c>
      <c r="D123" s="23">
        <v>0</v>
      </c>
      <c r="E123" s="23">
        <v>0</v>
      </c>
      <c r="F123" s="40">
        <f t="shared" si="27"/>
        <v>0</v>
      </c>
      <c r="G123" s="23">
        <f t="shared" si="28"/>
        <v>3184.5</v>
      </c>
      <c r="H123" s="41" t="e">
        <f t="shared" si="25"/>
        <v>#DIV/0!</v>
      </c>
      <c r="I123" s="23">
        <v>0</v>
      </c>
      <c r="J123" s="19"/>
    </row>
    <row r="124" spans="2:10" x14ac:dyDescent="0.3">
      <c r="B124" s="33">
        <v>17</v>
      </c>
      <c r="C124" s="31" t="s">
        <v>61</v>
      </c>
      <c r="D124" s="23">
        <v>0</v>
      </c>
      <c r="E124" s="23">
        <v>0</v>
      </c>
      <c r="F124" s="40">
        <f t="shared" si="27"/>
        <v>0</v>
      </c>
      <c r="G124" s="23">
        <f t="shared" si="28"/>
        <v>3184.5</v>
      </c>
      <c r="H124" s="41" t="e">
        <f t="shared" si="25"/>
        <v>#DIV/0!</v>
      </c>
      <c r="I124" s="23">
        <v>0</v>
      </c>
      <c r="J124" s="19"/>
    </row>
    <row r="125" spans="2:10" x14ac:dyDescent="0.3">
      <c r="B125" s="33">
        <v>18</v>
      </c>
      <c r="C125" s="31" t="s">
        <v>62</v>
      </c>
      <c r="D125" s="23">
        <v>0</v>
      </c>
      <c r="E125" s="23">
        <v>0</v>
      </c>
      <c r="F125" s="40">
        <f t="shared" si="27"/>
        <v>0</v>
      </c>
      <c r="G125" s="23">
        <f t="shared" si="28"/>
        <v>3184.5</v>
      </c>
      <c r="H125" s="41" t="e">
        <f t="shared" si="25"/>
        <v>#DIV/0!</v>
      </c>
      <c r="I125" s="23">
        <v>0</v>
      </c>
      <c r="J125" s="19"/>
    </row>
    <row r="126" spans="2:10" x14ac:dyDescent="0.3">
      <c r="B126" s="33">
        <v>19</v>
      </c>
      <c r="C126" s="31" t="s">
        <v>63</v>
      </c>
      <c r="D126" s="23">
        <v>0</v>
      </c>
      <c r="E126" s="23">
        <v>0</v>
      </c>
      <c r="F126" s="40">
        <f t="shared" si="27"/>
        <v>0</v>
      </c>
      <c r="G126" s="23">
        <f t="shared" si="28"/>
        <v>3184.5</v>
      </c>
      <c r="H126" s="41" t="e">
        <f t="shared" si="25"/>
        <v>#DIV/0!</v>
      </c>
      <c r="I126" s="23">
        <v>0</v>
      </c>
      <c r="J126" s="19"/>
    </row>
    <row r="127" spans="2:10" x14ac:dyDescent="0.3">
      <c r="B127" s="33">
        <v>20</v>
      </c>
      <c r="C127" s="31" t="s">
        <v>64</v>
      </c>
      <c r="D127" s="23">
        <v>0</v>
      </c>
      <c r="E127" s="23">
        <v>0</v>
      </c>
      <c r="F127" s="40">
        <f t="shared" ref="F127:F135" si="29">+E127+D127</f>
        <v>0</v>
      </c>
      <c r="G127" s="23">
        <f t="shared" ref="G127:G135" si="30">+G126+F127</f>
        <v>3184.5</v>
      </c>
      <c r="H127" s="41" t="e">
        <f t="shared" ref="H127" si="31">((G127-I127)/I127)*100</f>
        <v>#DIV/0!</v>
      </c>
      <c r="I127" s="23">
        <v>0</v>
      </c>
      <c r="J127" s="19"/>
    </row>
    <row r="128" spans="2:10" x14ac:dyDescent="0.3">
      <c r="B128" s="33">
        <v>21</v>
      </c>
      <c r="C128" s="31" t="s">
        <v>65</v>
      </c>
      <c r="D128" s="23">
        <v>0</v>
      </c>
      <c r="E128" s="23">
        <v>0</v>
      </c>
      <c r="F128" s="40">
        <f t="shared" si="29"/>
        <v>0</v>
      </c>
      <c r="G128" s="23">
        <f t="shared" si="30"/>
        <v>3184.5</v>
      </c>
      <c r="H128" s="41" t="e">
        <f t="shared" ref="H128" si="32">((G128-I128)/I128)*100</f>
        <v>#DIV/0!</v>
      </c>
      <c r="I128" s="23">
        <v>0</v>
      </c>
      <c r="J128" s="19"/>
    </row>
    <row r="129" spans="2:11" x14ac:dyDescent="0.3">
      <c r="B129" s="33">
        <v>22</v>
      </c>
      <c r="C129" s="31" t="s">
        <v>66</v>
      </c>
      <c r="D129" s="23">
        <v>0</v>
      </c>
      <c r="E129" s="23">
        <v>0</v>
      </c>
      <c r="F129" s="40">
        <f t="shared" si="29"/>
        <v>0</v>
      </c>
      <c r="G129" s="23">
        <f t="shared" si="30"/>
        <v>3184.5</v>
      </c>
      <c r="H129" s="11" t="e">
        <f>+H128</f>
        <v>#DIV/0!</v>
      </c>
      <c r="I129" s="23">
        <f>+I128+0</f>
        <v>0</v>
      </c>
      <c r="J129" s="19"/>
    </row>
    <row r="130" spans="2:11" x14ac:dyDescent="0.3">
      <c r="B130" s="33">
        <v>23</v>
      </c>
      <c r="C130" s="31" t="s">
        <v>76</v>
      </c>
      <c r="D130" s="23">
        <v>0</v>
      </c>
      <c r="E130" s="23">
        <v>0</v>
      </c>
      <c r="F130" s="40">
        <f t="shared" si="29"/>
        <v>0</v>
      </c>
      <c r="G130" s="23">
        <f t="shared" si="30"/>
        <v>3184.5</v>
      </c>
      <c r="H130" s="11" t="e">
        <f>+H129</f>
        <v>#DIV/0!</v>
      </c>
      <c r="I130" s="23">
        <f>+I129+0</f>
        <v>0</v>
      </c>
      <c r="J130" s="19"/>
      <c r="K130" s="1"/>
    </row>
    <row r="131" spans="2:11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29"/>
        <v>0</v>
      </c>
      <c r="G131" s="23">
        <f t="shared" si="30"/>
        <v>3184.5</v>
      </c>
      <c r="H131" s="11" t="e">
        <f>+H130</f>
        <v>#DIV/0!</v>
      </c>
      <c r="I131" s="23">
        <v>0</v>
      </c>
      <c r="J131" s="19"/>
      <c r="K131" s="1"/>
    </row>
    <row r="132" spans="2:11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29"/>
        <v>0</v>
      </c>
      <c r="G132" s="23">
        <f t="shared" si="30"/>
        <v>3184.5</v>
      </c>
      <c r="H132" s="41" t="e">
        <f t="shared" ref="H132:H135" si="33">((G132-I132)/I132)*100</f>
        <v>#DIV/0!</v>
      </c>
      <c r="I132" s="23">
        <f>+I131+0</f>
        <v>0</v>
      </c>
      <c r="J132" s="19"/>
      <c r="K132" s="1"/>
    </row>
    <row r="133" spans="2:11" ht="16.2" customHeight="1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29"/>
        <v>0</v>
      </c>
      <c r="G133" s="95">
        <f t="shared" si="30"/>
        <v>3184.5</v>
      </c>
      <c r="H133" s="41" t="e">
        <f t="shared" si="33"/>
        <v>#DIV/0!</v>
      </c>
      <c r="I133" s="23">
        <f>+I132+0</f>
        <v>0</v>
      </c>
      <c r="J133" s="19"/>
      <c r="K133" s="1"/>
    </row>
    <row r="134" spans="2:11" x14ac:dyDescent="0.3">
      <c r="B134" s="97">
        <v>27</v>
      </c>
      <c r="C134" s="67" t="s">
        <v>79</v>
      </c>
      <c r="D134" s="23">
        <v>0</v>
      </c>
      <c r="E134" s="23">
        <v>0</v>
      </c>
      <c r="F134" s="40">
        <f t="shared" si="29"/>
        <v>0</v>
      </c>
      <c r="G134" s="23">
        <f t="shared" si="30"/>
        <v>3184.5</v>
      </c>
      <c r="H134" s="41" t="e">
        <f t="shared" si="33"/>
        <v>#DIV/0!</v>
      </c>
      <c r="I134" s="23">
        <f>+I133+0</f>
        <v>0</v>
      </c>
      <c r="J134" s="19"/>
      <c r="K134" s="1"/>
    </row>
    <row r="135" spans="2:11" x14ac:dyDescent="0.3">
      <c r="B135" s="97">
        <v>28</v>
      </c>
      <c r="C135" s="67" t="s">
        <v>80</v>
      </c>
      <c r="D135" s="23">
        <v>0</v>
      </c>
      <c r="E135" s="23">
        <v>0</v>
      </c>
      <c r="F135" s="40">
        <f t="shared" si="29"/>
        <v>0</v>
      </c>
      <c r="G135" s="23">
        <f t="shared" si="30"/>
        <v>3184.5</v>
      </c>
      <c r="H135" s="41" t="e">
        <f t="shared" si="33"/>
        <v>#DIV/0!</v>
      </c>
      <c r="I135" s="23">
        <f>+I134+0</f>
        <v>0</v>
      </c>
      <c r="J135" s="19"/>
      <c r="K135" s="1"/>
    </row>
    <row r="136" spans="2:11" x14ac:dyDescent="0.3">
      <c r="B136" s="97">
        <v>29</v>
      </c>
      <c r="C136" s="67" t="s">
        <v>81</v>
      </c>
      <c r="D136" s="23">
        <v>0</v>
      </c>
      <c r="E136" s="23">
        <v>0</v>
      </c>
      <c r="F136" s="40">
        <f t="shared" ref="F136:F140" si="34">+E136+D136</f>
        <v>0</v>
      </c>
      <c r="G136" s="23">
        <f t="shared" ref="G136:G139" si="35">+G135+F136</f>
        <v>3184.5</v>
      </c>
      <c r="H136" s="41" t="e">
        <f t="shared" ref="H136:H142" si="36">((G136-I136)/I136)*100</f>
        <v>#DIV/0!</v>
      </c>
      <c r="I136" s="23">
        <f t="shared" ref="I136:I142" si="37">+I135+0</f>
        <v>0</v>
      </c>
      <c r="J136" s="10"/>
      <c r="K136" s="1"/>
    </row>
    <row r="137" spans="2:11" x14ac:dyDescent="0.3">
      <c r="B137" s="97">
        <v>30</v>
      </c>
      <c r="C137" s="67" t="s">
        <v>82</v>
      </c>
      <c r="D137" s="23">
        <v>0</v>
      </c>
      <c r="E137" s="23">
        <v>0</v>
      </c>
      <c r="F137" s="40">
        <f t="shared" si="34"/>
        <v>0</v>
      </c>
      <c r="G137" s="23">
        <f t="shared" si="35"/>
        <v>3184.5</v>
      </c>
      <c r="H137" s="41" t="e">
        <f t="shared" si="36"/>
        <v>#DIV/0!</v>
      </c>
      <c r="I137" s="23">
        <f t="shared" si="37"/>
        <v>0</v>
      </c>
      <c r="J137" s="10"/>
      <c r="K137" s="1"/>
    </row>
    <row r="138" spans="2:11" x14ac:dyDescent="0.3">
      <c r="B138" s="97">
        <v>31</v>
      </c>
      <c r="C138" s="67" t="s">
        <v>83</v>
      </c>
      <c r="D138" s="23">
        <v>0</v>
      </c>
      <c r="E138" s="23">
        <v>0</v>
      </c>
      <c r="F138" s="40">
        <f t="shared" si="34"/>
        <v>0</v>
      </c>
      <c r="G138" s="23">
        <f t="shared" si="35"/>
        <v>3184.5</v>
      </c>
      <c r="H138" s="41" t="e">
        <f t="shared" si="36"/>
        <v>#DIV/0!</v>
      </c>
      <c r="I138" s="23">
        <f t="shared" si="37"/>
        <v>0</v>
      </c>
      <c r="J138" s="10"/>
      <c r="K138" s="1"/>
    </row>
    <row r="139" spans="2:11" x14ac:dyDescent="0.3">
      <c r="B139" s="97">
        <v>32</v>
      </c>
      <c r="C139" s="67" t="s">
        <v>84</v>
      </c>
      <c r="D139" s="23">
        <v>0</v>
      </c>
      <c r="E139" s="23">
        <v>0</v>
      </c>
      <c r="F139" s="40">
        <f t="shared" si="34"/>
        <v>0</v>
      </c>
      <c r="G139" s="23">
        <f t="shared" si="35"/>
        <v>3184.5</v>
      </c>
      <c r="H139" s="41" t="e">
        <f t="shared" si="36"/>
        <v>#DIV/0!</v>
      </c>
      <c r="I139" s="23">
        <f t="shared" si="37"/>
        <v>0</v>
      </c>
      <c r="J139" s="10"/>
      <c r="K139" s="1"/>
    </row>
    <row r="140" spans="2:11" x14ac:dyDescent="0.3">
      <c r="B140" s="97">
        <v>33</v>
      </c>
      <c r="C140" s="31" t="s">
        <v>85</v>
      </c>
      <c r="D140" s="23">
        <v>0</v>
      </c>
      <c r="E140" s="23">
        <v>0</v>
      </c>
      <c r="F140" s="40">
        <f t="shared" si="34"/>
        <v>0</v>
      </c>
      <c r="G140" s="23">
        <f>+G139+F140</f>
        <v>3184.5</v>
      </c>
      <c r="H140" s="41" t="e">
        <f t="shared" si="36"/>
        <v>#DIV/0!</v>
      </c>
      <c r="I140" s="23">
        <f t="shared" si="37"/>
        <v>0</v>
      </c>
      <c r="J140" s="10"/>
      <c r="K140" s="1"/>
    </row>
    <row r="141" spans="2:11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3184.5</v>
      </c>
      <c r="H141" s="41" t="e">
        <f t="shared" si="36"/>
        <v>#DIV/0!</v>
      </c>
      <c r="I141" s="23">
        <f t="shared" si="37"/>
        <v>0</v>
      </c>
      <c r="J141" s="10"/>
      <c r="K141" s="1"/>
    </row>
    <row r="142" spans="2:11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3184.5</v>
      </c>
      <c r="H142" s="41" t="e">
        <f t="shared" si="36"/>
        <v>#DIV/0!</v>
      </c>
      <c r="I142" s="23">
        <f t="shared" si="37"/>
        <v>0</v>
      </c>
      <c r="J142" s="10"/>
      <c r="K142" s="1"/>
    </row>
    <row r="143" spans="2:11" hidden="1" x14ac:dyDescent="0.3">
      <c r="B143" s="97">
        <v>36</v>
      </c>
      <c r="C143" s="67"/>
      <c r="D143" s="23"/>
      <c r="E143" s="23"/>
      <c r="F143" s="40"/>
      <c r="G143" s="40"/>
      <c r="H143" s="41"/>
      <c r="I143" s="23"/>
      <c r="J143" s="10"/>
      <c r="K143" s="1"/>
    </row>
    <row r="144" spans="2:11" hidden="1" x14ac:dyDescent="0.3">
      <c r="B144" s="97">
        <v>37</v>
      </c>
      <c r="C144" s="67"/>
      <c r="D144" s="23"/>
      <c r="E144" s="23"/>
      <c r="F144" s="40"/>
      <c r="G144" s="40"/>
      <c r="H144" s="41"/>
      <c r="I144" s="23"/>
      <c r="J144" s="10"/>
      <c r="K144" s="1"/>
    </row>
    <row r="145" spans="2:11" hidden="1" x14ac:dyDescent="0.3">
      <c r="B145" s="97">
        <v>38</v>
      </c>
      <c r="C145" s="67"/>
      <c r="D145" s="23"/>
      <c r="E145" s="23"/>
      <c r="F145" s="40"/>
      <c r="G145" s="40"/>
      <c r="H145" s="41"/>
      <c r="I145" s="23"/>
      <c r="J145" s="10"/>
      <c r="K145" s="1"/>
    </row>
    <row r="146" spans="2:11" hidden="1" x14ac:dyDescent="0.3">
      <c r="B146" s="97">
        <v>39</v>
      </c>
      <c r="C146" s="67"/>
      <c r="D146" s="23"/>
      <c r="E146" s="23"/>
      <c r="F146" s="40"/>
      <c r="G146" s="40"/>
      <c r="H146" s="41"/>
      <c r="I146" s="23"/>
      <c r="J146" s="10"/>
      <c r="K146" s="1"/>
    </row>
    <row r="147" spans="2:11" hidden="1" x14ac:dyDescent="0.3">
      <c r="B147" s="97">
        <v>40</v>
      </c>
      <c r="C147" s="67"/>
      <c r="D147" s="23"/>
      <c r="E147" s="23"/>
      <c r="F147" s="40"/>
      <c r="G147" s="40"/>
      <c r="H147" s="41"/>
      <c r="I147" s="23"/>
      <c r="J147" s="10"/>
      <c r="K147" s="1"/>
    </row>
    <row r="148" spans="2:11" x14ac:dyDescent="0.3">
      <c r="B148" s="5"/>
      <c r="C148" s="5"/>
      <c r="D148" s="6"/>
      <c r="E148" s="6"/>
      <c r="F148" s="6"/>
      <c r="G148" s="6"/>
      <c r="H148" s="7"/>
      <c r="I148" s="6"/>
      <c r="J148" s="5"/>
    </row>
    <row r="149" spans="2:11" x14ac:dyDescent="0.3">
      <c r="B149" s="8" t="s">
        <v>27</v>
      </c>
      <c r="C149" s="5"/>
      <c r="D149" s="5"/>
      <c r="E149" s="5"/>
      <c r="F149" s="5"/>
      <c r="G149" s="5"/>
      <c r="H149" s="5"/>
      <c r="I149" s="5"/>
      <c r="J149" s="5"/>
    </row>
    <row r="150" spans="2:11" x14ac:dyDescent="0.3">
      <c r="B150" s="9" t="s">
        <v>28</v>
      </c>
      <c r="C150" s="5"/>
      <c r="D150" s="5"/>
      <c r="E150" s="5"/>
      <c r="F150" s="5"/>
      <c r="G150" s="5"/>
      <c r="H150" s="5"/>
      <c r="I150" s="5"/>
      <c r="J150" s="5"/>
    </row>
    <row r="151" spans="2:11" x14ac:dyDescent="0.3">
      <c r="B151" s="9" t="s">
        <v>29</v>
      </c>
      <c r="C151" s="5"/>
      <c r="D151" s="5"/>
      <c r="E151" s="5"/>
      <c r="F151" s="5"/>
      <c r="G151" s="5"/>
      <c r="H151" s="5"/>
      <c r="I151" s="5"/>
      <c r="J151" s="5"/>
    </row>
    <row r="152" spans="2:11" x14ac:dyDescent="0.3">
      <c r="B152" s="9" t="s">
        <v>30</v>
      </c>
      <c r="C152" s="5"/>
      <c r="D152" s="5"/>
      <c r="E152" s="5"/>
      <c r="F152" s="5"/>
      <c r="G152" s="5"/>
      <c r="H152" s="5"/>
      <c r="I152" s="5"/>
      <c r="J152" s="5"/>
    </row>
    <row r="155" spans="2:11" ht="18" x14ac:dyDescent="0.35">
      <c r="B155" s="10"/>
      <c r="C155" s="10"/>
      <c r="D155" s="127" t="s">
        <v>34</v>
      </c>
      <c r="E155" s="127"/>
      <c r="F155" s="127"/>
      <c r="G155" s="127"/>
      <c r="H155" s="127"/>
      <c r="I155" s="127"/>
      <c r="J155" s="10"/>
    </row>
    <row r="156" spans="2:11" s="28" customFormat="1" ht="15.6" x14ac:dyDescent="0.3">
      <c r="B156" s="24"/>
      <c r="C156" s="24"/>
      <c r="D156" s="131" t="s">
        <v>38</v>
      </c>
      <c r="E156" s="131"/>
      <c r="F156" s="131"/>
      <c r="G156" s="131"/>
      <c r="H156" s="131"/>
      <c r="I156" s="131"/>
      <c r="J156" s="24"/>
    </row>
    <row r="157" spans="2:11" ht="15.9" customHeight="1" x14ac:dyDescent="0.3">
      <c r="B157" s="132" t="s">
        <v>89</v>
      </c>
      <c r="C157" s="132"/>
      <c r="D157" s="132"/>
      <c r="E157" s="132"/>
      <c r="F157" s="132"/>
      <c r="G157" s="132"/>
      <c r="H157" s="132"/>
      <c r="I157" s="132"/>
      <c r="J157" s="132"/>
    </row>
    <row r="158" spans="2:11" ht="14.4" customHeight="1" x14ac:dyDescent="0.3">
      <c r="B158" s="14"/>
      <c r="C158" s="15"/>
      <c r="D158" s="128" t="s">
        <v>6</v>
      </c>
      <c r="E158" s="129"/>
      <c r="F158" s="129"/>
      <c r="G158" s="130"/>
      <c r="H158" s="120" t="s">
        <v>7</v>
      </c>
      <c r="I158" s="121"/>
      <c r="J158" s="4"/>
    </row>
    <row r="159" spans="2:11" x14ac:dyDescent="0.3">
      <c r="B159" s="12"/>
      <c r="C159" s="13"/>
      <c r="D159" s="124" t="s">
        <v>9</v>
      </c>
      <c r="E159" s="125"/>
      <c r="F159" s="125"/>
      <c r="G159" s="126"/>
      <c r="H159" s="122"/>
      <c r="I159" s="123"/>
      <c r="J159" s="4"/>
    </row>
    <row r="160" spans="2:11" ht="14.4" customHeight="1" x14ac:dyDescent="0.3">
      <c r="B160" s="111" t="s">
        <v>10</v>
      </c>
      <c r="C160" s="113" t="s">
        <v>11</v>
      </c>
      <c r="D160" s="16" t="s">
        <v>12</v>
      </c>
      <c r="E160" s="16" t="s">
        <v>13</v>
      </c>
      <c r="F160" s="16" t="s">
        <v>14</v>
      </c>
      <c r="G160" s="16" t="s">
        <v>15</v>
      </c>
      <c r="H160" s="115" t="s">
        <v>16</v>
      </c>
      <c r="I160" s="113" t="s">
        <v>17</v>
      </c>
      <c r="J160" s="17"/>
    </row>
    <row r="161" spans="2:10" ht="37.65" customHeight="1" x14ac:dyDescent="0.3">
      <c r="B161" s="112"/>
      <c r="C161" s="114"/>
      <c r="D161" s="117" t="s">
        <v>20</v>
      </c>
      <c r="E161" s="118"/>
      <c r="F161" s="118"/>
      <c r="G161" s="119"/>
      <c r="H161" s="116"/>
      <c r="I161" s="114"/>
      <c r="J161" s="17"/>
    </row>
    <row r="162" spans="2:10" x14ac:dyDescent="0.3">
      <c r="B162" s="33">
        <v>4</v>
      </c>
      <c r="C162" s="31" t="s">
        <v>21</v>
      </c>
      <c r="D162" s="18">
        <v>10543</v>
      </c>
      <c r="E162" s="18">
        <v>0</v>
      </c>
      <c r="F162" s="36">
        <f>+D162+E162</f>
        <v>10543</v>
      </c>
      <c r="G162" s="18">
        <f>+F162</f>
        <v>10543</v>
      </c>
      <c r="H162" s="37" t="e">
        <f t="shared" ref="H162:H180" si="38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11068.5</v>
      </c>
      <c r="E163" s="23">
        <v>0</v>
      </c>
      <c r="F163" s="40">
        <f>+E163+D163</f>
        <v>11068.5</v>
      </c>
      <c r="G163" s="23">
        <f>+G162+F163</f>
        <v>21611.5</v>
      </c>
      <c r="H163" s="41">
        <f t="shared" si="38"/>
        <v>266.85622135460869</v>
      </c>
      <c r="I163" s="23">
        <v>5891</v>
      </c>
      <c r="J163" s="19"/>
    </row>
    <row r="164" spans="2:10" x14ac:dyDescent="0.3">
      <c r="B164" s="33">
        <v>6</v>
      </c>
      <c r="C164" s="31" t="s">
        <v>23</v>
      </c>
      <c r="D164" s="23">
        <v>0</v>
      </c>
      <c r="E164" s="23">
        <v>0</v>
      </c>
      <c r="F164" s="40">
        <f>+E164+D164</f>
        <v>0</v>
      </c>
      <c r="G164" s="23">
        <f t="shared" ref="G164" si="39">+G163+F164</f>
        <v>21611.5</v>
      </c>
      <c r="H164" s="41">
        <f t="shared" si="38"/>
        <v>266.85622135460869</v>
      </c>
      <c r="I164" s="23">
        <f>+I163+0</f>
        <v>5891</v>
      </c>
      <c r="J164" s="19"/>
    </row>
    <row r="165" spans="2:10" x14ac:dyDescent="0.3">
      <c r="B165" s="33">
        <v>7</v>
      </c>
      <c r="C165" s="31" t="s">
        <v>24</v>
      </c>
      <c r="D165" s="23">
        <v>3123.5</v>
      </c>
      <c r="E165" s="23">
        <v>0</v>
      </c>
      <c r="F165" s="40">
        <f t="shared" ref="F165:F177" si="40">+E165+D165</f>
        <v>3123.5</v>
      </c>
      <c r="G165" s="23">
        <f>+G164+F165</f>
        <v>24735</v>
      </c>
      <c r="H165" s="41">
        <f t="shared" si="38"/>
        <v>319.8777796638941</v>
      </c>
      <c r="I165" s="23">
        <f>+I164+0</f>
        <v>5891</v>
      </c>
      <c r="J165" s="19"/>
    </row>
    <row r="166" spans="2:10" x14ac:dyDescent="0.3">
      <c r="B166" s="33">
        <v>8</v>
      </c>
      <c r="C166" s="31" t="s">
        <v>25</v>
      </c>
      <c r="D166" s="23">
        <v>0</v>
      </c>
      <c r="E166" s="23">
        <v>0</v>
      </c>
      <c r="F166" s="40">
        <f t="shared" si="40"/>
        <v>0</v>
      </c>
      <c r="G166" s="23">
        <f t="shared" ref="G166:G177" si="41">+G165+F166</f>
        <v>24735</v>
      </c>
      <c r="H166" s="41">
        <f t="shared" si="38"/>
        <v>319.8777796638941</v>
      </c>
      <c r="I166" s="23">
        <v>5891</v>
      </c>
      <c r="J166" s="19"/>
    </row>
    <row r="167" spans="2:10" x14ac:dyDescent="0.3">
      <c r="B167" s="33">
        <v>9</v>
      </c>
      <c r="C167" s="31" t="s">
        <v>26</v>
      </c>
      <c r="D167" s="23">
        <v>0</v>
      </c>
      <c r="E167" s="23">
        <v>0</v>
      </c>
      <c r="F167" s="40">
        <f t="shared" si="40"/>
        <v>0</v>
      </c>
      <c r="G167" s="23">
        <f t="shared" si="41"/>
        <v>24735</v>
      </c>
      <c r="H167" s="41">
        <f t="shared" si="38"/>
        <v>319.8777796638941</v>
      </c>
      <c r="I167" s="23">
        <f>+I166</f>
        <v>5891</v>
      </c>
      <c r="J167" s="19"/>
    </row>
    <row r="168" spans="2:10" x14ac:dyDescent="0.3">
      <c r="B168" s="33">
        <v>10</v>
      </c>
      <c r="C168" s="31" t="s">
        <v>55</v>
      </c>
      <c r="D168" s="23">
        <v>0</v>
      </c>
      <c r="E168" s="23">
        <v>0</v>
      </c>
      <c r="F168" s="40">
        <f t="shared" si="40"/>
        <v>0</v>
      </c>
      <c r="G168" s="23">
        <f t="shared" si="41"/>
        <v>24735</v>
      </c>
      <c r="H168" s="41">
        <f t="shared" si="38"/>
        <v>319.8777796638941</v>
      </c>
      <c r="I168" s="23">
        <f>+I167</f>
        <v>5891</v>
      </c>
      <c r="J168" s="19"/>
    </row>
    <row r="169" spans="2:10" x14ac:dyDescent="0.3">
      <c r="B169" s="33">
        <v>11</v>
      </c>
      <c r="C169" s="31" t="s">
        <v>56</v>
      </c>
      <c r="D169" s="23">
        <v>0</v>
      </c>
      <c r="E169" s="23">
        <v>0</v>
      </c>
      <c r="F169" s="40">
        <f t="shared" si="40"/>
        <v>0</v>
      </c>
      <c r="G169" s="23">
        <f t="shared" si="41"/>
        <v>24735</v>
      </c>
      <c r="H169" s="41">
        <f t="shared" si="38"/>
        <v>319.8777796638941</v>
      </c>
      <c r="I169" s="23">
        <f>+I168</f>
        <v>5891</v>
      </c>
      <c r="J169" s="19"/>
    </row>
    <row r="170" spans="2:10" x14ac:dyDescent="0.3">
      <c r="B170" s="33">
        <v>12</v>
      </c>
      <c r="C170" s="31" t="s">
        <v>71</v>
      </c>
      <c r="D170" s="23">
        <v>0</v>
      </c>
      <c r="E170" s="23">
        <v>0</v>
      </c>
      <c r="F170" s="40">
        <f t="shared" si="40"/>
        <v>0</v>
      </c>
      <c r="G170" s="23">
        <f t="shared" si="41"/>
        <v>24735</v>
      </c>
      <c r="H170" s="41">
        <f t="shared" si="38"/>
        <v>319.8777796638941</v>
      </c>
      <c r="I170" s="23">
        <f>+I169+0</f>
        <v>5891</v>
      </c>
      <c r="J170" s="19"/>
    </row>
    <row r="171" spans="2:10" x14ac:dyDescent="0.3">
      <c r="B171" s="33">
        <v>13</v>
      </c>
      <c r="C171" s="31" t="s">
        <v>57</v>
      </c>
      <c r="D171" s="23">
        <v>0</v>
      </c>
      <c r="E171" s="23">
        <v>0</v>
      </c>
      <c r="F171" s="40">
        <f t="shared" si="40"/>
        <v>0</v>
      </c>
      <c r="G171" s="23">
        <f t="shared" si="41"/>
        <v>24735</v>
      </c>
      <c r="H171" s="41">
        <f t="shared" si="38"/>
        <v>319.8777796638941</v>
      </c>
      <c r="I171" s="23">
        <v>5891</v>
      </c>
      <c r="J171" s="19"/>
    </row>
    <row r="172" spans="2:10" x14ac:dyDescent="0.3">
      <c r="B172" s="33">
        <v>14</v>
      </c>
      <c r="C172" s="49" t="s">
        <v>58</v>
      </c>
      <c r="D172" s="23">
        <v>0</v>
      </c>
      <c r="E172" s="23">
        <v>0</v>
      </c>
      <c r="F172" s="40">
        <f t="shared" si="40"/>
        <v>0</v>
      </c>
      <c r="G172" s="23">
        <f t="shared" si="41"/>
        <v>24735</v>
      </c>
      <c r="H172" s="41">
        <f t="shared" si="38"/>
        <v>319.8777796638941</v>
      </c>
      <c r="I172" s="23">
        <f>+I171+0</f>
        <v>5891</v>
      </c>
      <c r="J172" s="19"/>
    </row>
    <row r="173" spans="2:10" x14ac:dyDescent="0.3">
      <c r="B173" s="33">
        <v>15</v>
      </c>
      <c r="C173" s="31" t="s">
        <v>59</v>
      </c>
      <c r="D173" s="23">
        <v>0</v>
      </c>
      <c r="E173" s="23">
        <v>0</v>
      </c>
      <c r="F173" s="40">
        <f t="shared" si="40"/>
        <v>0</v>
      </c>
      <c r="G173" s="23">
        <f t="shared" si="41"/>
        <v>24735</v>
      </c>
      <c r="H173" s="41">
        <f t="shared" si="38"/>
        <v>319.8777796638941</v>
      </c>
      <c r="I173" s="23">
        <f>+I172+0</f>
        <v>5891</v>
      </c>
      <c r="J173" s="19"/>
    </row>
    <row r="174" spans="2:10" x14ac:dyDescent="0.3">
      <c r="B174" s="33">
        <v>16</v>
      </c>
      <c r="C174" s="31" t="s">
        <v>60</v>
      </c>
      <c r="D174" s="23">
        <v>0</v>
      </c>
      <c r="E174" s="23">
        <v>0</v>
      </c>
      <c r="F174" s="40">
        <f t="shared" si="40"/>
        <v>0</v>
      </c>
      <c r="G174" s="23">
        <f t="shared" si="41"/>
        <v>24735</v>
      </c>
      <c r="H174" s="41">
        <f t="shared" si="38"/>
        <v>319.8777796638941</v>
      </c>
      <c r="I174" s="23">
        <v>5891</v>
      </c>
      <c r="J174" s="19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40"/>
        <v>0</v>
      </c>
      <c r="G175" s="23">
        <f t="shared" si="41"/>
        <v>24735</v>
      </c>
      <c r="H175" s="41">
        <f t="shared" si="38"/>
        <v>319.8777796638941</v>
      </c>
      <c r="I175" s="23">
        <v>5891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40"/>
        <v>0</v>
      </c>
      <c r="G176" s="23">
        <f t="shared" si="41"/>
        <v>24735</v>
      </c>
      <c r="H176" s="41">
        <f t="shared" si="38"/>
        <v>319.8777796638941</v>
      </c>
      <c r="I176" s="23">
        <f t="shared" ref="I176:I181" si="42">+I175+0</f>
        <v>5891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40"/>
        <v>0</v>
      </c>
      <c r="G177" s="23">
        <f t="shared" si="41"/>
        <v>24735</v>
      </c>
      <c r="H177" s="41">
        <f t="shared" si="38"/>
        <v>319.8777796638941</v>
      </c>
      <c r="I177" s="23">
        <f t="shared" si="42"/>
        <v>5891</v>
      </c>
      <c r="J177" s="19"/>
    </row>
    <row r="178" spans="2:10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6" si="43">+E178+D178</f>
        <v>0</v>
      </c>
      <c r="G178" s="23">
        <f t="shared" ref="G178:G186" si="44">+G177+F178</f>
        <v>24735</v>
      </c>
      <c r="H178" s="41">
        <f t="shared" si="38"/>
        <v>319.8777796638941</v>
      </c>
      <c r="I178" s="23">
        <f t="shared" si="42"/>
        <v>5891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43"/>
        <v>0</v>
      </c>
      <c r="G179" s="23">
        <f t="shared" si="44"/>
        <v>24735</v>
      </c>
      <c r="H179" s="41">
        <f t="shared" si="38"/>
        <v>319.8777796638941</v>
      </c>
      <c r="I179" s="23">
        <f t="shared" si="42"/>
        <v>5891</v>
      </c>
      <c r="J179" s="19"/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43"/>
        <v>0</v>
      </c>
      <c r="G180" s="23">
        <f t="shared" si="44"/>
        <v>24735</v>
      </c>
      <c r="H180" s="41">
        <f t="shared" si="38"/>
        <v>319.8777796638941</v>
      </c>
      <c r="I180" s="23">
        <f t="shared" si="42"/>
        <v>5891</v>
      </c>
      <c r="J180" s="19"/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43"/>
        <v>0</v>
      </c>
      <c r="G181" s="23">
        <f t="shared" si="44"/>
        <v>24735</v>
      </c>
      <c r="H181" s="41">
        <f t="shared" ref="H181:H186" si="45">((G181-I181)/I181)*100</f>
        <v>319.8777796638941</v>
      </c>
      <c r="I181" s="23">
        <f t="shared" si="42"/>
        <v>5891</v>
      </c>
      <c r="J181" s="19"/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43"/>
        <v>0</v>
      </c>
      <c r="G182" s="23">
        <f t="shared" si="44"/>
        <v>24735</v>
      </c>
      <c r="H182" s="41">
        <f t="shared" si="45"/>
        <v>319.8777796638941</v>
      </c>
      <c r="I182" s="23">
        <f>+I181+0</f>
        <v>5891</v>
      </c>
      <c r="J182" s="19"/>
    </row>
    <row r="183" spans="2:10" x14ac:dyDescent="0.3">
      <c r="B183" s="33">
        <v>25</v>
      </c>
      <c r="C183" s="67" t="s">
        <v>69</v>
      </c>
      <c r="D183" s="23">
        <v>0</v>
      </c>
      <c r="E183" s="23">
        <v>0</v>
      </c>
      <c r="F183" s="40">
        <f t="shared" si="43"/>
        <v>0</v>
      </c>
      <c r="G183" s="23">
        <f t="shared" si="44"/>
        <v>24735</v>
      </c>
      <c r="H183" s="41">
        <f t="shared" si="45"/>
        <v>319.8777796638941</v>
      </c>
      <c r="I183" s="23">
        <f>+I182+0</f>
        <v>5891</v>
      </c>
      <c r="J183" s="19"/>
    </row>
    <row r="184" spans="2:10" ht="16.2" customHeight="1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43"/>
        <v>0</v>
      </c>
      <c r="G184" s="95">
        <f t="shared" si="44"/>
        <v>24735</v>
      </c>
      <c r="H184" s="41">
        <f t="shared" si="45"/>
        <v>319.8777796638941</v>
      </c>
      <c r="I184" s="23">
        <f>+I183+0</f>
        <v>5891</v>
      </c>
      <c r="J184" s="19"/>
    </row>
    <row r="185" spans="2:10" x14ac:dyDescent="0.3">
      <c r="B185" s="33">
        <v>27</v>
      </c>
      <c r="C185" s="93" t="s">
        <v>79</v>
      </c>
      <c r="D185" s="94">
        <v>0</v>
      </c>
      <c r="E185" s="95">
        <v>0</v>
      </c>
      <c r="F185" s="96">
        <f t="shared" si="43"/>
        <v>0</v>
      </c>
      <c r="G185" s="95">
        <f t="shared" si="44"/>
        <v>24735</v>
      </c>
      <c r="H185" s="41">
        <f t="shared" si="45"/>
        <v>319.8777796638941</v>
      </c>
      <c r="I185" s="23">
        <f>+I184+0</f>
        <v>5891</v>
      </c>
      <c r="J185" s="19"/>
    </row>
    <row r="186" spans="2:10" x14ac:dyDescent="0.3">
      <c r="B186" s="97">
        <v>28</v>
      </c>
      <c r="C186" s="93" t="s">
        <v>80</v>
      </c>
      <c r="D186" s="94">
        <v>0</v>
      </c>
      <c r="E186" s="95">
        <v>0</v>
      </c>
      <c r="F186" s="96">
        <f t="shared" si="43"/>
        <v>0</v>
      </c>
      <c r="G186" s="95">
        <f t="shared" si="44"/>
        <v>24735</v>
      </c>
      <c r="H186" s="41">
        <f t="shared" si="45"/>
        <v>319.8777796638941</v>
      </c>
      <c r="I186" s="23">
        <f>+I185+0</f>
        <v>5891</v>
      </c>
      <c r="J186" s="19"/>
    </row>
    <row r="187" spans="2:10" x14ac:dyDescent="0.3">
      <c r="B187" s="33">
        <v>29</v>
      </c>
      <c r="C187" s="67" t="s">
        <v>81</v>
      </c>
      <c r="D187" s="94">
        <v>0</v>
      </c>
      <c r="E187" s="95">
        <v>0</v>
      </c>
      <c r="F187" s="96">
        <f t="shared" ref="F187:F191" si="46">+E187+D187</f>
        <v>0</v>
      </c>
      <c r="G187" s="95">
        <f t="shared" ref="G187:G190" si="47">+G186+F187</f>
        <v>24735</v>
      </c>
      <c r="H187" s="41">
        <f t="shared" ref="H187:H193" si="48">((G187-I187)/I187)*100</f>
        <v>319.8777796638941</v>
      </c>
      <c r="I187" s="23">
        <f t="shared" ref="I187:I193" si="49">+I186+0</f>
        <v>5891</v>
      </c>
      <c r="J187" s="10"/>
    </row>
    <row r="188" spans="2:10" x14ac:dyDescent="0.3">
      <c r="B188" s="97">
        <v>30</v>
      </c>
      <c r="C188" s="67" t="s">
        <v>82</v>
      </c>
      <c r="D188" s="94">
        <v>0</v>
      </c>
      <c r="E188" s="95">
        <v>0</v>
      </c>
      <c r="F188" s="96">
        <f t="shared" si="46"/>
        <v>0</v>
      </c>
      <c r="G188" s="95">
        <f t="shared" si="47"/>
        <v>24735</v>
      </c>
      <c r="H188" s="41">
        <f t="shared" si="48"/>
        <v>319.8777796638941</v>
      </c>
      <c r="I188" s="23">
        <f t="shared" si="49"/>
        <v>5891</v>
      </c>
      <c r="J188" s="10"/>
    </row>
    <row r="189" spans="2:10" x14ac:dyDescent="0.3">
      <c r="B189" s="33">
        <v>31</v>
      </c>
      <c r="C189" s="67" t="s">
        <v>83</v>
      </c>
      <c r="D189" s="94">
        <v>0</v>
      </c>
      <c r="E189" s="95">
        <v>0</v>
      </c>
      <c r="F189" s="96">
        <f t="shared" si="46"/>
        <v>0</v>
      </c>
      <c r="G189" s="95">
        <f t="shared" si="47"/>
        <v>24735</v>
      </c>
      <c r="H189" s="41">
        <f t="shared" si="48"/>
        <v>319.8777796638941</v>
      </c>
      <c r="I189" s="23">
        <f t="shared" si="49"/>
        <v>5891</v>
      </c>
      <c r="J189" s="10"/>
    </row>
    <row r="190" spans="2:10" x14ac:dyDescent="0.3">
      <c r="B190" s="97">
        <v>32</v>
      </c>
      <c r="C190" s="67" t="s">
        <v>84</v>
      </c>
      <c r="D190" s="94">
        <v>0</v>
      </c>
      <c r="E190" s="95">
        <v>0</v>
      </c>
      <c r="F190" s="96">
        <f t="shared" si="46"/>
        <v>0</v>
      </c>
      <c r="G190" s="95">
        <f t="shared" si="47"/>
        <v>24735</v>
      </c>
      <c r="H190" s="41">
        <f t="shared" si="48"/>
        <v>319.8777796638941</v>
      </c>
      <c r="I190" s="23">
        <f t="shared" si="49"/>
        <v>5891</v>
      </c>
      <c r="J190" s="10"/>
    </row>
    <row r="191" spans="2:10" x14ac:dyDescent="0.3">
      <c r="B191" s="97">
        <v>33</v>
      </c>
      <c r="C191" s="31" t="s">
        <v>85</v>
      </c>
      <c r="D191" s="23">
        <v>0</v>
      </c>
      <c r="E191" s="23">
        <v>0</v>
      </c>
      <c r="F191" s="40">
        <f t="shared" si="46"/>
        <v>0</v>
      </c>
      <c r="G191" s="23">
        <f>+G190+F191</f>
        <v>24735</v>
      </c>
      <c r="H191" s="41">
        <f t="shared" si="48"/>
        <v>319.8777796638941</v>
      </c>
      <c r="I191" s="23">
        <f t="shared" si="49"/>
        <v>5891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24735</v>
      </c>
      <c r="H192" s="41">
        <f t="shared" si="48"/>
        <v>319.8777796638941</v>
      </c>
      <c r="I192" s="23">
        <f t="shared" si="49"/>
        <v>5891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24735</v>
      </c>
      <c r="H193" s="41">
        <f t="shared" si="48"/>
        <v>319.8777796638941</v>
      </c>
      <c r="I193" s="23">
        <f t="shared" si="49"/>
        <v>5891</v>
      </c>
      <c r="J193" s="10"/>
    </row>
    <row r="194" spans="2:10" hidden="1" x14ac:dyDescent="0.3">
      <c r="B194" s="97">
        <v>36</v>
      </c>
      <c r="C194" s="67"/>
      <c r="D194" s="94"/>
      <c r="E194" s="95"/>
      <c r="F194" s="96"/>
      <c r="G194" s="96"/>
      <c r="H194" s="41"/>
      <c r="I194" s="23"/>
      <c r="J194" s="10"/>
    </row>
    <row r="195" spans="2:10" hidden="1" x14ac:dyDescent="0.3">
      <c r="B195" s="33">
        <v>37</v>
      </c>
      <c r="C195" s="67"/>
      <c r="D195" s="94"/>
      <c r="E195" s="95"/>
      <c r="F195" s="96"/>
      <c r="G195" s="96"/>
      <c r="H195" s="41"/>
      <c r="I195" s="23"/>
      <c r="J195" s="10"/>
    </row>
    <row r="196" spans="2:10" hidden="1" x14ac:dyDescent="0.3">
      <c r="B196" s="97">
        <v>38</v>
      </c>
      <c r="C196" s="67"/>
      <c r="D196" s="94"/>
      <c r="E196" s="95"/>
      <c r="F196" s="96"/>
      <c r="G196" s="96"/>
      <c r="H196" s="41"/>
      <c r="I196" s="23"/>
      <c r="J196" s="10"/>
    </row>
    <row r="197" spans="2:10" hidden="1" x14ac:dyDescent="0.3">
      <c r="B197" s="97">
        <v>39</v>
      </c>
      <c r="C197" s="67"/>
      <c r="D197" s="94"/>
      <c r="E197" s="95"/>
      <c r="F197" s="96"/>
      <c r="G197" s="96"/>
      <c r="H197" s="41"/>
      <c r="I197" s="23"/>
      <c r="J197" s="10"/>
    </row>
    <row r="198" spans="2:10" hidden="1" x14ac:dyDescent="0.3">
      <c r="B198" s="33">
        <v>40</v>
      </c>
      <c r="C198" s="67"/>
      <c r="D198" s="94"/>
      <c r="E198" s="95"/>
      <c r="F198" s="96"/>
      <c r="G198" s="96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7"/>
      <c r="I199" s="6"/>
      <c r="J199" s="5"/>
    </row>
    <row r="200" spans="2:10" x14ac:dyDescent="0.3">
      <c r="B200" s="8" t="s">
        <v>27</v>
      </c>
      <c r="C200" s="5"/>
      <c r="D200" s="5"/>
      <c r="E200" s="5"/>
      <c r="F200" s="5"/>
      <c r="G200" s="5"/>
      <c r="H200" s="5"/>
      <c r="I200" s="5"/>
      <c r="J200" s="5"/>
    </row>
    <row r="201" spans="2:10" x14ac:dyDescent="0.3">
      <c r="B201" s="9" t="s">
        <v>28</v>
      </c>
      <c r="C201" s="5"/>
      <c r="D201" s="5"/>
      <c r="E201" s="5"/>
      <c r="F201" s="5"/>
      <c r="G201" s="5"/>
      <c r="H201" s="5"/>
      <c r="I201" s="5"/>
      <c r="J201" s="5"/>
    </row>
    <row r="202" spans="2:10" x14ac:dyDescent="0.3">
      <c r="B202" s="9" t="s">
        <v>29</v>
      </c>
      <c r="C202" s="5"/>
      <c r="D202" s="5"/>
      <c r="E202" s="5"/>
      <c r="F202" s="5"/>
      <c r="G202" s="5"/>
      <c r="H202" s="5"/>
      <c r="I202" s="5"/>
      <c r="J202" s="5"/>
    </row>
    <row r="203" spans="2:10" x14ac:dyDescent="0.3">
      <c r="B203" s="9" t="s">
        <v>30</v>
      </c>
      <c r="C203" s="5"/>
      <c r="D203" s="5"/>
      <c r="E203" s="5"/>
      <c r="F203" s="5"/>
      <c r="G203" s="5"/>
      <c r="H203" s="5"/>
      <c r="I203" s="5"/>
      <c r="J203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O203"/>
  <sheetViews>
    <sheetView topLeftCell="A11" zoomScale="69" zoomScaleNormal="69" workbookViewId="0">
      <selection activeCell="S39" sqref="S39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0" width="6.75" style="3" customWidth="1"/>
    <col min="11" max="11" width="9" style="3"/>
    <col min="12" max="13" width="12.5" style="3" bestFit="1" customWidth="1"/>
    <col min="14" max="14" width="13.125" style="3" customWidth="1"/>
    <col min="15" max="15" width="12.125" style="3" bestFit="1" customWidth="1"/>
    <col min="16" max="16384" width="9" style="3"/>
  </cols>
  <sheetData>
    <row r="3" spans="2:12" s="28" customFormat="1" ht="18" x14ac:dyDescent="0.35">
      <c r="B3" s="24"/>
      <c r="C3" s="24"/>
      <c r="D3" s="137" t="s">
        <v>39</v>
      </c>
      <c r="E3" s="137"/>
      <c r="F3" s="137"/>
      <c r="G3" s="137"/>
      <c r="H3" s="137"/>
      <c r="I3" s="137"/>
      <c r="J3" s="24"/>
      <c r="K3" s="29"/>
      <c r="L3" s="2"/>
    </row>
    <row r="4" spans="2:12" ht="15.9" customHeight="1" x14ac:dyDescent="0.3">
      <c r="B4" s="132" t="s">
        <v>89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28" t="s">
        <v>6</v>
      </c>
      <c r="E5" s="129"/>
      <c r="F5" s="129"/>
      <c r="G5" s="130"/>
      <c r="H5" s="120" t="s">
        <v>7</v>
      </c>
      <c r="I5" s="121"/>
      <c r="J5" s="4"/>
      <c r="K5" s="1"/>
      <c r="L5" s="2"/>
    </row>
    <row r="6" spans="2:12" x14ac:dyDescent="0.3">
      <c r="B6" s="12"/>
      <c r="C6" s="13"/>
      <c r="D6" s="124" t="s">
        <v>9</v>
      </c>
      <c r="E6" s="125"/>
      <c r="F6" s="125"/>
      <c r="G6" s="126"/>
      <c r="H6" s="122"/>
      <c r="I6" s="123"/>
      <c r="J6" s="4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15" t="s">
        <v>16</v>
      </c>
      <c r="I7" s="113" t="s">
        <v>17</v>
      </c>
      <c r="J7" s="17"/>
      <c r="K7" s="1"/>
      <c r="L7" s="2"/>
    </row>
    <row r="8" spans="2:12" ht="33" customHeight="1" x14ac:dyDescent="0.3">
      <c r="B8" s="112"/>
      <c r="C8" s="114"/>
      <c r="D8" s="117" t="s">
        <v>20</v>
      </c>
      <c r="E8" s="118"/>
      <c r="F8" s="118"/>
      <c r="G8" s="119"/>
      <c r="H8" s="116"/>
      <c r="I8" s="114"/>
      <c r="J8" s="17"/>
      <c r="K8" s="1"/>
    </row>
    <row r="9" spans="2:12" x14ac:dyDescent="0.3">
      <c r="B9" s="33">
        <v>4</v>
      </c>
      <c r="C9" s="31" t="s">
        <v>21</v>
      </c>
      <c r="D9" s="18">
        <v>116966.7</v>
      </c>
      <c r="E9" s="18">
        <v>0</v>
      </c>
      <c r="F9" s="36">
        <f>+D9+E9</f>
        <v>116966.7</v>
      </c>
      <c r="G9" s="18">
        <f>+F9</f>
        <v>116966.7</v>
      </c>
      <c r="H9" s="37">
        <f t="shared" ref="H9:H16" si="0">((G9-I9)/I9)*100</f>
        <v>191.63662203605355</v>
      </c>
      <c r="I9" s="18">
        <v>40107</v>
      </c>
      <c r="J9" s="19"/>
      <c r="K9" s="1"/>
    </row>
    <row r="10" spans="2:12" x14ac:dyDescent="0.3">
      <c r="B10" s="33">
        <v>5</v>
      </c>
      <c r="C10" s="31" t="s">
        <v>22</v>
      </c>
      <c r="D10" s="23">
        <v>165330.03</v>
      </c>
      <c r="E10" s="23">
        <v>0</v>
      </c>
      <c r="F10" s="40">
        <f>+E10+D10</f>
        <v>165330.03</v>
      </c>
      <c r="G10" s="23">
        <f>+G9+F10</f>
        <v>282296.73</v>
      </c>
      <c r="H10" s="41">
        <f t="shared" si="0"/>
        <v>-35.736221702268182</v>
      </c>
      <c r="I10" s="23">
        <f>+I9+399171.14</f>
        <v>439278.14</v>
      </c>
      <c r="J10" s="19"/>
      <c r="K10" s="1"/>
    </row>
    <row r="11" spans="2:12" x14ac:dyDescent="0.3">
      <c r="B11" s="33">
        <v>6</v>
      </c>
      <c r="C11" s="31" t="s">
        <v>23</v>
      </c>
      <c r="D11" s="23">
        <v>896702.52</v>
      </c>
      <c r="E11" s="23">
        <v>0</v>
      </c>
      <c r="F11" s="40">
        <f>+E11+D11</f>
        <v>896702.52</v>
      </c>
      <c r="G11" s="23">
        <f t="shared" ref="G11:G24" si="1">+G10+F11</f>
        <v>1178999.25</v>
      </c>
      <c r="H11" s="41">
        <f t="shared" si="0"/>
        <v>44.606208894141155</v>
      </c>
      <c r="I11" s="23">
        <f>+I10+376039.03</f>
        <v>815317.17</v>
      </c>
      <c r="J11" s="19"/>
      <c r="K11" s="1"/>
    </row>
    <row r="12" spans="2:12" x14ac:dyDescent="0.3">
      <c r="B12" s="33">
        <v>7</v>
      </c>
      <c r="C12" s="31" t="s">
        <v>24</v>
      </c>
      <c r="D12" s="23">
        <v>570167.59</v>
      </c>
      <c r="E12" s="23">
        <v>400197.5</v>
      </c>
      <c r="F12" s="40">
        <f t="shared" ref="F12:F24" si="2">+E12+D12</f>
        <v>970365.09</v>
      </c>
      <c r="G12" s="23">
        <f>+G11+F12</f>
        <v>2149364.34</v>
      </c>
      <c r="H12" s="41">
        <f t="shared" si="0"/>
        <v>40.107075026660475</v>
      </c>
      <c r="I12" s="23">
        <f>+I11+718769.77</f>
        <v>1534086.94</v>
      </c>
      <c r="J12" s="19"/>
      <c r="K12" s="1"/>
    </row>
    <row r="13" spans="2:12" x14ac:dyDescent="0.3">
      <c r="B13" s="33">
        <v>8</v>
      </c>
      <c r="C13" s="31" t="s">
        <v>25</v>
      </c>
      <c r="D13" s="23">
        <v>1091406.01</v>
      </c>
      <c r="E13" s="23">
        <v>0</v>
      </c>
      <c r="F13" s="40">
        <f t="shared" si="2"/>
        <v>1091406.01</v>
      </c>
      <c r="G13" s="23">
        <f t="shared" si="1"/>
        <v>3240770.3499999996</v>
      </c>
      <c r="H13" s="41">
        <f t="shared" si="0"/>
        <v>30.957374487837917</v>
      </c>
      <c r="I13" s="23">
        <v>2474675.7200000002</v>
      </c>
      <c r="J13" s="19"/>
      <c r="K13" s="1"/>
    </row>
    <row r="14" spans="2:12" x14ac:dyDescent="0.3">
      <c r="B14" s="33">
        <v>9</v>
      </c>
      <c r="C14" s="31" t="s">
        <v>26</v>
      </c>
      <c r="D14" s="23">
        <v>863298.01</v>
      </c>
      <c r="E14" s="23">
        <v>0</v>
      </c>
      <c r="F14" s="40">
        <f t="shared" si="2"/>
        <v>863298.01</v>
      </c>
      <c r="G14" s="23">
        <f t="shared" si="1"/>
        <v>4104068.3599999994</v>
      </c>
      <c r="H14" s="41">
        <f t="shared" si="0"/>
        <v>2.464846960077526</v>
      </c>
      <c r="I14" s="23">
        <f>+I13+1530667.07</f>
        <v>4005342.79</v>
      </c>
      <c r="J14" s="19"/>
      <c r="K14" s="1"/>
    </row>
    <row r="15" spans="2:12" x14ac:dyDescent="0.3">
      <c r="B15" s="33">
        <v>10</v>
      </c>
      <c r="C15" s="31" t="s">
        <v>55</v>
      </c>
      <c r="D15" s="23">
        <v>1404338.52</v>
      </c>
      <c r="E15" s="23">
        <v>0</v>
      </c>
      <c r="F15" s="40">
        <f t="shared" si="2"/>
        <v>1404338.52</v>
      </c>
      <c r="G15" s="23">
        <f t="shared" si="1"/>
        <v>5508406.879999999</v>
      </c>
      <c r="H15" s="41">
        <f t="shared" si="0"/>
        <v>-5.7205904615992136</v>
      </c>
      <c r="I15" s="23">
        <f>+I14+1837297.62</f>
        <v>5842640.4100000001</v>
      </c>
      <c r="J15" s="19"/>
      <c r="K15" s="1"/>
    </row>
    <row r="16" spans="2:12" x14ac:dyDescent="0.3">
      <c r="B16" s="33">
        <v>11</v>
      </c>
      <c r="C16" s="31" t="s">
        <v>56</v>
      </c>
      <c r="D16" s="23">
        <v>2418715.52</v>
      </c>
      <c r="E16" s="23">
        <v>0</v>
      </c>
      <c r="F16" s="40">
        <f t="shared" si="2"/>
        <v>2418715.52</v>
      </c>
      <c r="G16" s="23">
        <f t="shared" si="1"/>
        <v>7927122.3999999985</v>
      </c>
      <c r="H16" s="41">
        <f t="shared" si="0"/>
        <v>13.704627673612851</v>
      </c>
      <c r="I16" s="23">
        <f>+I15+1129039.25</f>
        <v>6971679.6600000001</v>
      </c>
      <c r="J16" s="19"/>
      <c r="K16" s="1"/>
    </row>
    <row r="17" spans="2:15" x14ac:dyDescent="0.3">
      <c r="B17" s="33">
        <v>12</v>
      </c>
      <c r="C17" s="31" t="s">
        <v>71</v>
      </c>
      <c r="D17" s="23">
        <v>2585248.5499999998</v>
      </c>
      <c r="E17" s="23">
        <v>0</v>
      </c>
      <c r="F17" s="40">
        <f t="shared" si="2"/>
        <v>2585248.5499999998</v>
      </c>
      <c r="G17" s="23">
        <f t="shared" si="1"/>
        <v>10512370.949999999</v>
      </c>
      <c r="H17" s="41">
        <f>((G17-I17)/I17)*100</f>
        <v>35.563973952069446</v>
      </c>
      <c r="I17" s="23">
        <f>+I16+782866.51</f>
        <v>7754546.1699999999</v>
      </c>
      <c r="J17" s="19"/>
      <c r="K17" s="1"/>
    </row>
    <row r="18" spans="2:15" x14ac:dyDescent="0.3">
      <c r="B18" s="33">
        <v>13</v>
      </c>
      <c r="C18" s="31" t="s">
        <v>57</v>
      </c>
      <c r="D18" s="23">
        <v>1450265.05</v>
      </c>
      <c r="E18" s="23">
        <v>0</v>
      </c>
      <c r="F18" s="40">
        <f t="shared" si="2"/>
        <v>1450265.05</v>
      </c>
      <c r="G18" s="23">
        <f t="shared" si="1"/>
        <v>11962636</v>
      </c>
      <c r="H18" s="41">
        <f>((G18-I18)/I18)*100</f>
        <v>42.026167228058114</v>
      </c>
      <c r="I18" s="23">
        <v>8422839.4199999999</v>
      </c>
      <c r="J18" s="19"/>
      <c r="K18" s="1"/>
    </row>
    <row r="19" spans="2:15" x14ac:dyDescent="0.3">
      <c r="B19" s="33">
        <v>14</v>
      </c>
      <c r="C19" s="49" t="s">
        <v>58</v>
      </c>
      <c r="D19" s="23">
        <v>293840</v>
      </c>
      <c r="E19" s="23">
        <v>67776.5</v>
      </c>
      <c r="F19" s="40">
        <f t="shared" si="2"/>
        <v>361616.5</v>
      </c>
      <c r="G19" s="23">
        <f t="shared" si="1"/>
        <v>12324252.5</v>
      </c>
      <c r="H19" s="41">
        <f>((G19-I19)/I19)*100</f>
        <v>26.818111953838592</v>
      </c>
      <c r="I19" s="23">
        <f>+I18+1295214.5</f>
        <v>9718053.9199999999</v>
      </c>
      <c r="J19" s="19"/>
      <c r="K19" s="1"/>
    </row>
    <row r="20" spans="2:15" x14ac:dyDescent="0.3">
      <c r="B20" s="33">
        <v>15</v>
      </c>
      <c r="C20" s="31" t="s">
        <v>59</v>
      </c>
      <c r="D20" s="23">
        <v>636937</v>
      </c>
      <c r="E20" s="23">
        <v>0</v>
      </c>
      <c r="F20" s="40">
        <f t="shared" si="2"/>
        <v>636937</v>
      </c>
      <c r="G20" s="23">
        <f t="shared" si="1"/>
        <v>12961189.5</v>
      </c>
      <c r="H20" s="41">
        <f>((G20-I20)/I20)*100</f>
        <v>23.965991953354173</v>
      </c>
      <c r="I20" s="23">
        <f>737385.75+I19</f>
        <v>10455439.67</v>
      </c>
      <c r="J20" s="19"/>
      <c r="K20" s="1"/>
    </row>
    <row r="21" spans="2:15" x14ac:dyDescent="0.3">
      <c r="B21" s="33">
        <v>16</v>
      </c>
      <c r="C21" s="31" t="s">
        <v>60</v>
      </c>
      <c r="D21" s="23">
        <v>797584.5</v>
      </c>
      <c r="E21" s="23">
        <v>35132</v>
      </c>
      <c r="F21" s="40">
        <f t="shared" si="2"/>
        <v>832716.5</v>
      </c>
      <c r="G21" s="23">
        <f t="shared" si="1"/>
        <v>13793906</v>
      </c>
      <c r="H21" s="41">
        <f t="shared" ref="H21:H30" si="3">((G21-I21)/I21)*100</f>
        <v>22.293353758560812</v>
      </c>
      <c r="I21" s="23">
        <v>11279358.67</v>
      </c>
      <c r="J21" s="19"/>
      <c r="K21" s="1"/>
    </row>
    <row r="22" spans="2:15" x14ac:dyDescent="0.3">
      <c r="B22" s="33">
        <v>17</v>
      </c>
      <c r="C22" s="31" t="s">
        <v>61</v>
      </c>
      <c r="D22" s="23">
        <v>420456</v>
      </c>
      <c r="E22" s="23">
        <v>77181.5</v>
      </c>
      <c r="F22" s="40">
        <f t="shared" si="2"/>
        <v>497637.5</v>
      </c>
      <c r="G22" s="23">
        <f t="shared" si="1"/>
        <v>14291543.5</v>
      </c>
      <c r="H22" s="41">
        <f t="shared" si="3"/>
        <v>18.710232561729029</v>
      </c>
      <c r="I22" s="23">
        <v>12039015.67</v>
      </c>
      <c r="J22" s="19"/>
      <c r="K22" s="1"/>
    </row>
    <row r="23" spans="2:15" x14ac:dyDescent="0.3">
      <c r="B23" s="33">
        <v>18</v>
      </c>
      <c r="C23" s="31" t="s">
        <v>62</v>
      </c>
      <c r="D23" s="23">
        <v>314257.5</v>
      </c>
      <c r="E23" s="23">
        <v>0</v>
      </c>
      <c r="F23" s="40">
        <f t="shared" si="2"/>
        <v>314257.5</v>
      </c>
      <c r="G23" s="23">
        <f t="shared" si="1"/>
        <v>14605801</v>
      </c>
      <c r="H23" s="41">
        <f t="shared" si="3"/>
        <v>12.037641122425288</v>
      </c>
      <c r="I23" s="23">
        <f>+I22+997496.75</f>
        <v>13036512.42</v>
      </c>
      <c r="J23" s="19"/>
      <c r="K23" s="1"/>
    </row>
    <row r="24" spans="2:15" x14ac:dyDescent="0.3">
      <c r="B24" s="33">
        <v>19</v>
      </c>
      <c r="C24" s="31" t="s">
        <v>63</v>
      </c>
      <c r="D24" s="23">
        <v>333090</v>
      </c>
      <c r="E24" s="23">
        <v>0</v>
      </c>
      <c r="F24" s="40">
        <f t="shared" si="2"/>
        <v>333090</v>
      </c>
      <c r="G24" s="23">
        <f t="shared" si="1"/>
        <v>14938891</v>
      </c>
      <c r="H24" s="41">
        <f t="shared" si="3"/>
        <v>9.9061510054127897</v>
      </c>
      <c r="I24" s="23">
        <f>+I23+555894.25</f>
        <v>13592406.67</v>
      </c>
      <c r="J24" s="19"/>
      <c r="K24" s="1"/>
      <c r="N24" s="32"/>
      <c r="O24" s="32"/>
    </row>
    <row r="25" spans="2:15" x14ac:dyDescent="0.3">
      <c r="B25" s="33">
        <v>20</v>
      </c>
      <c r="C25" s="31" t="s">
        <v>64</v>
      </c>
      <c r="D25" s="23">
        <v>84067.5</v>
      </c>
      <c r="E25" s="23">
        <v>10850</v>
      </c>
      <c r="F25" s="40">
        <f t="shared" ref="F25:F33" si="4">+E25+D25</f>
        <v>94917.5</v>
      </c>
      <c r="G25" s="23">
        <f t="shared" ref="G25:G33" si="5">+G24+F25</f>
        <v>15033808.5</v>
      </c>
      <c r="H25" s="41">
        <f t="shared" si="3"/>
        <v>3.7810949083775331</v>
      </c>
      <c r="I25" s="23">
        <f>+I24+893669.54</f>
        <v>14486076.210000001</v>
      </c>
      <c r="J25" s="19"/>
      <c r="K25" s="1"/>
    </row>
    <row r="26" spans="2:15" x14ac:dyDescent="0.3">
      <c r="B26" s="33">
        <v>21</v>
      </c>
      <c r="C26" s="31" t="s">
        <v>65</v>
      </c>
      <c r="D26" s="23">
        <v>358629.5</v>
      </c>
      <c r="E26" s="23">
        <v>0</v>
      </c>
      <c r="F26" s="40">
        <f t="shared" si="4"/>
        <v>358629.5</v>
      </c>
      <c r="G26" s="23">
        <f t="shared" si="5"/>
        <v>15392438</v>
      </c>
      <c r="H26" s="41">
        <f t="shared" si="3"/>
        <v>3.5121894949055972</v>
      </c>
      <c r="I26" s="23">
        <f>+I25+384093.26</f>
        <v>14870169.470000001</v>
      </c>
      <c r="J26" s="19"/>
      <c r="K26" s="1"/>
      <c r="L26" s="32"/>
      <c r="N26" s="32"/>
      <c r="O26" s="32"/>
    </row>
    <row r="27" spans="2:15" x14ac:dyDescent="0.3">
      <c r="B27" s="33">
        <v>22</v>
      </c>
      <c r="C27" s="31" t="s">
        <v>66</v>
      </c>
      <c r="D27" s="23">
        <v>470714</v>
      </c>
      <c r="E27" s="23">
        <v>0</v>
      </c>
      <c r="F27" s="40">
        <f t="shared" si="4"/>
        <v>470714</v>
      </c>
      <c r="G27" s="23">
        <f t="shared" si="5"/>
        <v>15863152</v>
      </c>
      <c r="H27" s="41">
        <f t="shared" si="3"/>
        <v>4.7216640664996792</v>
      </c>
      <c r="I27" s="23">
        <f>+I26+277748.72</f>
        <v>15147918.190000001</v>
      </c>
      <c r="J27" s="19"/>
      <c r="K27" s="1"/>
    </row>
    <row r="28" spans="2:15" x14ac:dyDescent="0.3">
      <c r="B28" s="33">
        <v>23</v>
      </c>
      <c r="C28" s="31" t="s">
        <v>76</v>
      </c>
      <c r="D28" s="23">
        <v>545344</v>
      </c>
      <c r="E28" s="23">
        <v>0</v>
      </c>
      <c r="F28" s="40">
        <f t="shared" si="4"/>
        <v>545344</v>
      </c>
      <c r="G28" s="23">
        <f t="shared" si="5"/>
        <v>16408496</v>
      </c>
      <c r="H28" s="41">
        <f t="shared" si="3"/>
        <v>7.6819741214700112</v>
      </c>
      <c r="I28" s="23">
        <f>+I27+90004.53</f>
        <v>15237922.720000001</v>
      </c>
      <c r="J28" s="19"/>
      <c r="K28" s="1"/>
    </row>
    <row r="29" spans="2:15" x14ac:dyDescent="0.3">
      <c r="B29" s="33">
        <v>24</v>
      </c>
      <c r="C29" s="31" t="s">
        <v>68</v>
      </c>
      <c r="D29" s="23">
        <v>214752.3</v>
      </c>
      <c r="E29" s="23">
        <v>0</v>
      </c>
      <c r="F29" s="40">
        <f t="shared" si="4"/>
        <v>214752.3</v>
      </c>
      <c r="G29" s="23">
        <f t="shared" si="5"/>
        <v>16623248.300000001</v>
      </c>
      <c r="H29" s="41">
        <f t="shared" si="3"/>
        <v>8.3895724591826895</v>
      </c>
      <c r="I29" s="23">
        <f>+I28+98652.49</f>
        <v>15336575.210000001</v>
      </c>
      <c r="J29" s="19"/>
      <c r="K29" s="1"/>
      <c r="N29" s="32"/>
    </row>
    <row r="30" spans="2:15" x14ac:dyDescent="0.3">
      <c r="B30" s="33">
        <v>25</v>
      </c>
      <c r="C30" s="67" t="s">
        <v>69</v>
      </c>
      <c r="D30" s="23">
        <v>268742.7</v>
      </c>
      <c r="E30" s="23">
        <v>0</v>
      </c>
      <c r="F30" s="40">
        <f t="shared" si="4"/>
        <v>268742.7</v>
      </c>
      <c r="G30" s="23">
        <f t="shared" si="5"/>
        <v>16891991</v>
      </c>
      <c r="H30" s="41">
        <f t="shared" si="3"/>
        <v>10.141871758864468</v>
      </c>
      <c r="I30" s="23">
        <f>+I29+0</f>
        <v>15336575.210000001</v>
      </c>
      <c r="J30" s="19"/>
      <c r="K30" s="1"/>
    </row>
    <row r="31" spans="2:15" x14ac:dyDescent="0.3">
      <c r="B31" s="97">
        <v>26</v>
      </c>
      <c r="C31" s="93" t="s">
        <v>70</v>
      </c>
      <c r="D31" s="94">
        <v>128.5</v>
      </c>
      <c r="E31" s="95">
        <v>0</v>
      </c>
      <c r="F31" s="96">
        <f t="shared" si="4"/>
        <v>128.5</v>
      </c>
      <c r="G31" s="95">
        <f t="shared" si="5"/>
        <v>16892119.5</v>
      </c>
      <c r="H31" s="41">
        <f t="shared" ref="H31:H33" si="6">((G31-I31)/I31)*100</f>
        <v>10.142709625195383</v>
      </c>
      <c r="I31" s="23">
        <f>+I30+0</f>
        <v>15336575.210000001</v>
      </c>
      <c r="J31" s="19"/>
      <c r="K31" s="1"/>
    </row>
    <row r="32" spans="2:15" x14ac:dyDescent="0.3">
      <c r="B32" s="97">
        <v>27</v>
      </c>
      <c r="C32" s="93" t="s">
        <v>79</v>
      </c>
      <c r="D32" s="94">
        <v>0</v>
      </c>
      <c r="E32" s="95">
        <v>0</v>
      </c>
      <c r="F32" s="96">
        <f t="shared" si="4"/>
        <v>0</v>
      </c>
      <c r="G32" s="95">
        <f t="shared" si="5"/>
        <v>16892119.5</v>
      </c>
      <c r="H32" s="41">
        <f t="shared" si="6"/>
        <v>10.142709625195383</v>
      </c>
      <c r="I32" s="23">
        <f>+I31+0</f>
        <v>15336575.210000001</v>
      </c>
      <c r="J32" s="19"/>
      <c r="K32" s="1"/>
      <c r="M32" s="32"/>
    </row>
    <row r="33" spans="2:11" x14ac:dyDescent="0.3">
      <c r="B33" s="33">
        <v>28</v>
      </c>
      <c r="C33" s="93" t="s">
        <v>80</v>
      </c>
      <c r="D33" s="94">
        <v>26487</v>
      </c>
      <c r="E33" s="95">
        <v>3241</v>
      </c>
      <c r="F33" s="96">
        <f t="shared" si="4"/>
        <v>29728</v>
      </c>
      <c r="G33" s="107">
        <f t="shared" si="5"/>
        <v>16921847.5</v>
      </c>
      <c r="H33" s="41">
        <f t="shared" si="6"/>
        <v>10.336546903681237</v>
      </c>
      <c r="I33" s="23">
        <f>+I32+0</f>
        <v>15336575.210000001</v>
      </c>
      <c r="J33" s="19"/>
      <c r="K33" s="1"/>
    </row>
    <row r="34" spans="2:11" x14ac:dyDescent="0.3">
      <c r="B34" s="97">
        <v>29</v>
      </c>
      <c r="C34" s="67" t="s">
        <v>81</v>
      </c>
      <c r="D34" s="94">
        <v>0</v>
      </c>
      <c r="E34" s="95">
        <v>0</v>
      </c>
      <c r="F34" s="96">
        <f t="shared" ref="F34:F38" si="7">+E34+D34</f>
        <v>0</v>
      </c>
      <c r="G34" s="95">
        <f t="shared" ref="G34:G37" si="8">+G33+F34</f>
        <v>16921847.5</v>
      </c>
      <c r="H34" s="41">
        <f t="shared" ref="H34:H37" si="9">((G34-I34)/I34)*100</f>
        <v>10.336546903681237</v>
      </c>
      <c r="I34" s="23">
        <f t="shared" ref="I34:I40" si="10">+I33+0</f>
        <v>15336575.210000001</v>
      </c>
      <c r="J34" s="10"/>
      <c r="K34" s="1"/>
    </row>
    <row r="35" spans="2:11" x14ac:dyDescent="0.3">
      <c r="B35" s="97">
        <v>30</v>
      </c>
      <c r="C35" s="67" t="s">
        <v>82</v>
      </c>
      <c r="D35" s="94">
        <v>147438</v>
      </c>
      <c r="E35" s="95">
        <v>0</v>
      </c>
      <c r="F35" s="96">
        <f t="shared" si="7"/>
        <v>147438</v>
      </c>
      <c r="G35" s="95">
        <f t="shared" si="8"/>
        <v>17069285.5</v>
      </c>
      <c r="H35" s="41">
        <f t="shared" si="9"/>
        <v>11.29789582272716</v>
      </c>
      <c r="I35" s="23">
        <f t="shared" si="10"/>
        <v>15336575.210000001</v>
      </c>
      <c r="J35" s="10"/>
      <c r="K35" s="1"/>
    </row>
    <row r="36" spans="2:11" x14ac:dyDescent="0.3">
      <c r="B36" s="33">
        <v>31</v>
      </c>
      <c r="C36" s="67" t="s">
        <v>83</v>
      </c>
      <c r="D36" s="94">
        <v>19192.5</v>
      </c>
      <c r="E36" s="95">
        <v>0</v>
      </c>
      <c r="F36" s="96">
        <f t="shared" si="7"/>
        <v>19192.5</v>
      </c>
      <c r="G36" s="95">
        <f t="shared" si="8"/>
        <v>17088478</v>
      </c>
      <c r="H36" s="41">
        <f t="shared" si="9"/>
        <v>11.423037842618834</v>
      </c>
      <c r="I36" s="23">
        <f t="shared" si="10"/>
        <v>15336575.210000001</v>
      </c>
      <c r="J36" s="10"/>
      <c r="K36" s="1"/>
    </row>
    <row r="37" spans="2:11" x14ac:dyDescent="0.3">
      <c r="B37" s="97">
        <v>32</v>
      </c>
      <c r="C37" s="67" t="s">
        <v>84</v>
      </c>
      <c r="D37" s="94">
        <v>4320</v>
      </c>
      <c r="E37" s="95">
        <v>0</v>
      </c>
      <c r="F37" s="96">
        <f t="shared" si="7"/>
        <v>4320</v>
      </c>
      <c r="G37" s="95">
        <f t="shared" si="8"/>
        <v>17092798</v>
      </c>
      <c r="H37" s="41">
        <f t="shared" si="9"/>
        <v>11.451205800202894</v>
      </c>
      <c r="I37" s="23">
        <f t="shared" si="10"/>
        <v>15336575.210000001</v>
      </c>
      <c r="J37" s="10"/>
      <c r="K37" s="1"/>
    </row>
    <row r="38" spans="2:11" x14ac:dyDescent="0.3">
      <c r="B38" s="97">
        <v>33</v>
      </c>
      <c r="C38" s="67" t="s">
        <v>85</v>
      </c>
      <c r="D38" s="94">
        <f>35990+15251.5+718.5</f>
        <v>51960</v>
      </c>
      <c r="E38" s="95">
        <f>3862-7299+6268</f>
        <v>2831</v>
      </c>
      <c r="F38" s="96">
        <f t="shared" si="7"/>
        <v>54791</v>
      </c>
      <c r="G38" s="95">
        <f>+G37+F38</f>
        <v>17147589</v>
      </c>
      <c r="H38" s="41">
        <f t="shared" ref="H38:H40" si="11">((G38-I38)/I38)*100</f>
        <v>11.808462875200147</v>
      </c>
      <c r="I38" s="23">
        <f t="shared" si="10"/>
        <v>15336575.210000001</v>
      </c>
      <c r="J38" s="10"/>
      <c r="K38" s="1"/>
    </row>
    <row r="39" spans="2:11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17147589</v>
      </c>
      <c r="H39" s="41">
        <f t="shared" si="11"/>
        <v>11.808462875200147</v>
      </c>
      <c r="I39" s="23">
        <f t="shared" si="10"/>
        <v>15336575.210000001</v>
      </c>
      <c r="J39" s="10"/>
      <c r="K39" s="1"/>
    </row>
    <row r="40" spans="2:11" x14ac:dyDescent="0.3">
      <c r="B40" s="33">
        <v>35</v>
      </c>
      <c r="C40" s="67" t="s">
        <v>86</v>
      </c>
      <c r="D40" s="23">
        <v>79699.5</v>
      </c>
      <c r="E40" s="23">
        <v>0</v>
      </c>
      <c r="F40" s="40">
        <f>+E40+D40</f>
        <v>79699.5</v>
      </c>
      <c r="G40" s="40">
        <f>+G39+F40</f>
        <v>17227288.5</v>
      </c>
      <c r="H40" s="41">
        <f t="shared" si="11"/>
        <v>12.328132351003539</v>
      </c>
      <c r="I40" s="23">
        <f t="shared" si="10"/>
        <v>15336575.210000001</v>
      </c>
      <c r="J40" s="10"/>
      <c r="K40" s="1"/>
    </row>
    <row r="41" spans="2:11" hidden="1" x14ac:dyDescent="0.3">
      <c r="B41" s="97">
        <v>36</v>
      </c>
      <c r="C41" s="67"/>
      <c r="D41" s="94"/>
      <c r="E41" s="95"/>
      <c r="F41" s="96"/>
      <c r="G41" s="96"/>
      <c r="H41" s="41"/>
      <c r="I41" s="23"/>
      <c r="J41" s="10"/>
      <c r="K41" s="1"/>
    </row>
    <row r="42" spans="2:11" hidden="1" x14ac:dyDescent="0.3">
      <c r="B42" s="97">
        <v>37</v>
      </c>
      <c r="C42" s="67"/>
      <c r="D42" s="94"/>
      <c r="E42" s="95"/>
      <c r="F42" s="96"/>
      <c r="G42" s="96"/>
      <c r="H42" s="41"/>
      <c r="I42" s="23"/>
      <c r="J42" s="10"/>
      <c r="K42" s="1"/>
    </row>
    <row r="43" spans="2:11" hidden="1" x14ac:dyDescent="0.3">
      <c r="B43" s="97">
        <v>38</v>
      </c>
      <c r="C43" s="67"/>
      <c r="D43" s="94"/>
      <c r="E43" s="95"/>
      <c r="F43" s="96"/>
      <c r="G43" s="96"/>
      <c r="H43" s="41"/>
      <c r="I43" s="23"/>
      <c r="J43" s="10"/>
      <c r="K43" s="1"/>
    </row>
    <row r="44" spans="2:11" hidden="1" x14ac:dyDescent="0.3">
      <c r="B44" s="33">
        <v>39</v>
      </c>
      <c r="C44" s="67"/>
      <c r="D44" s="94"/>
      <c r="E44" s="95"/>
      <c r="F44" s="96"/>
      <c r="G44" s="96"/>
      <c r="H44" s="41"/>
      <c r="I44" s="23"/>
      <c r="J44" s="10"/>
      <c r="K44" s="1"/>
    </row>
    <row r="45" spans="2:11" hidden="1" x14ac:dyDescent="0.3">
      <c r="B45" s="97">
        <v>40</v>
      </c>
      <c r="C45" s="67"/>
      <c r="D45" s="94"/>
      <c r="E45" s="95"/>
      <c r="F45" s="96"/>
      <c r="G45" s="96"/>
      <c r="H45" s="41"/>
      <c r="I45" s="23"/>
      <c r="J45" s="10"/>
      <c r="K45" s="1"/>
    </row>
    <row r="46" spans="2:11" ht="13.8" customHeight="1" x14ac:dyDescent="0.3">
      <c r="B46" s="5"/>
      <c r="C46" s="5"/>
      <c r="D46" s="6"/>
      <c r="E46" s="6"/>
      <c r="F46" s="6"/>
      <c r="G46" s="6"/>
      <c r="H46" s="7"/>
      <c r="I46" s="6"/>
      <c r="J46" s="5"/>
      <c r="K46" s="1"/>
    </row>
    <row r="47" spans="2:11" x14ac:dyDescent="0.3">
      <c r="B47" s="8" t="s">
        <v>27</v>
      </c>
      <c r="C47" s="5"/>
      <c r="D47" s="5"/>
      <c r="E47" s="5"/>
      <c r="F47" s="5"/>
      <c r="G47" s="5"/>
      <c r="H47" s="5"/>
      <c r="I47" s="5"/>
      <c r="J47" s="5"/>
      <c r="K47" s="1"/>
    </row>
    <row r="48" spans="2:11" x14ac:dyDescent="0.3">
      <c r="B48" s="9" t="s">
        <v>28</v>
      </c>
      <c r="C48" s="5"/>
      <c r="D48" s="5"/>
      <c r="E48" s="5"/>
      <c r="F48" s="5"/>
      <c r="G48" s="5"/>
      <c r="H48" s="5"/>
      <c r="I48" s="5"/>
      <c r="J48" s="5"/>
      <c r="K48" s="1"/>
    </row>
    <row r="49" spans="2:11" x14ac:dyDescent="0.3">
      <c r="B49" s="9" t="s">
        <v>29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">
      <c r="B50" s="9" t="s">
        <v>30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">
      <c r="B51" s="9"/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">
      <c r="B52" s="9"/>
      <c r="C52" s="5"/>
      <c r="D52" s="5"/>
      <c r="E52" s="5"/>
      <c r="F52" s="5"/>
      <c r="G52" s="5"/>
      <c r="H52" s="5"/>
      <c r="I52" s="5"/>
      <c r="J52" s="5"/>
      <c r="K52" s="1"/>
    </row>
    <row r="53" spans="2:11" ht="18" x14ac:dyDescent="0.35">
      <c r="B53" s="10"/>
      <c r="C53" s="10"/>
      <c r="D53" s="135" t="s">
        <v>31</v>
      </c>
      <c r="E53" s="135"/>
      <c r="F53" s="135"/>
      <c r="G53" s="135"/>
      <c r="H53" s="135"/>
      <c r="I53" s="135"/>
      <c r="J53" s="10"/>
    </row>
    <row r="54" spans="2:11" s="28" customFormat="1" ht="15.6" x14ac:dyDescent="0.3">
      <c r="B54" s="24"/>
      <c r="C54" s="24"/>
      <c r="D54" s="136" t="s">
        <v>39</v>
      </c>
      <c r="E54" s="136"/>
      <c r="F54" s="136"/>
      <c r="G54" s="136"/>
      <c r="H54" s="136"/>
      <c r="I54" s="136"/>
      <c r="J54" s="24"/>
    </row>
    <row r="55" spans="2:11" ht="15.9" customHeight="1" x14ac:dyDescent="0.3">
      <c r="B55" s="132" t="s">
        <v>88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28" t="s">
        <v>6</v>
      </c>
      <c r="E56" s="129"/>
      <c r="F56" s="129"/>
      <c r="G56" s="130"/>
      <c r="H56" s="120" t="s">
        <v>7</v>
      </c>
      <c r="I56" s="121"/>
      <c r="J56" s="4"/>
    </row>
    <row r="57" spans="2:11" x14ac:dyDescent="0.3">
      <c r="B57" s="12"/>
      <c r="C57" s="13"/>
      <c r="D57" s="124" t="s">
        <v>9</v>
      </c>
      <c r="E57" s="125"/>
      <c r="F57" s="125"/>
      <c r="G57" s="126"/>
      <c r="H57" s="122"/>
      <c r="I57" s="123"/>
      <c r="J57" s="4"/>
    </row>
    <row r="58" spans="2:11" ht="14.4" customHeight="1" x14ac:dyDescent="0.3">
      <c r="B58" s="111" t="s">
        <v>10</v>
      </c>
      <c r="C58" s="113" t="s">
        <v>11</v>
      </c>
      <c r="D58" s="16" t="s">
        <v>12</v>
      </c>
      <c r="E58" s="16" t="s">
        <v>13</v>
      </c>
      <c r="F58" s="16" t="s">
        <v>14</v>
      </c>
      <c r="G58" s="16" t="s">
        <v>15</v>
      </c>
      <c r="H58" s="115" t="s">
        <v>16</v>
      </c>
      <c r="I58" s="113" t="s">
        <v>17</v>
      </c>
      <c r="J58" s="17"/>
    </row>
    <row r="59" spans="2:11" ht="37.65" customHeight="1" x14ac:dyDescent="0.3">
      <c r="B59" s="112"/>
      <c r="C59" s="114"/>
      <c r="D59" s="117" t="s">
        <v>20</v>
      </c>
      <c r="E59" s="118"/>
      <c r="F59" s="118"/>
      <c r="G59" s="119"/>
      <c r="H59" s="116"/>
      <c r="I59" s="114"/>
      <c r="J59" s="17"/>
    </row>
    <row r="60" spans="2:11" x14ac:dyDescent="0.3">
      <c r="B60" s="33">
        <v>4</v>
      </c>
      <c r="C60" s="31" t="s">
        <v>21</v>
      </c>
      <c r="D60" s="18">
        <v>85624.69</v>
      </c>
      <c r="E60" s="18">
        <v>0</v>
      </c>
      <c r="F60" s="36">
        <f>+D60+E60</f>
        <v>85624.69</v>
      </c>
      <c r="G60" s="18">
        <f>+F60</f>
        <v>85624.69</v>
      </c>
      <c r="H60" s="37">
        <f t="shared" ref="H60:H67" si="12">((G60-I60)/I60)*100</f>
        <v>113.4906375445683</v>
      </c>
      <c r="I60" s="18">
        <v>40107</v>
      </c>
      <c r="J60" s="19"/>
    </row>
    <row r="61" spans="2:11" x14ac:dyDescent="0.3">
      <c r="B61" s="33">
        <v>5</v>
      </c>
      <c r="C61" s="31" t="s">
        <v>22</v>
      </c>
      <c r="D61" s="23">
        <v>101932</v>
      </c>
      <c r="E61" s="23">
        <v>0</v>
      </c>
      <c r="F61" s="40">
        <f>+E61+D61</f>
        <v>101932</v>
      </c>
      <c r="G61" s="23">
        <f>+G60+F61</f>
        <v>187556.69</v>
      </c>
      <c r="H61" s="41">
        <f t="shared" si="12"/>
        <v>-38.477690913759524</v>
      </c>
      <c r="I61" s="23">
        <f>+I60+264752.64</f>
        <v>304859.64</v>
      </c>
      <c r="J61" s="19"/>
    </row>
    <row r="62" spans="2:11" x14ac:dyDescent="0.3">
      <c r="B62" s="33">
        <v>6</v>
      </c>
      <c r="C62" s="31" t="s">
        <v>23</v>
      </c>
      <c r="D62" s="23">
        <v>796239</v>
      </c>
      <c r="E62" s="23">
        <v>0</v>
      </c>
      <c r="F62" s="40">
        <f>+E62+D62</f>
        <v>796239</v>
      </c>
      <c r="G62" s="23">
        <f t="shared" ref="G62" si="13">+G61+F62</f>
        <v>983795.69</v>
      </c>
      <c r="H62" s="41">
        <f t="shared" si="12"/>
        <v>55.82718781031334</v>
      </c>
      <c r="I62" s="23">
        <f>+I61+326478</f>
        <v>631337.64</v>
      </c>
      <c r="J62" s="19"/>
    </row>
    <row r="63" spans="2:11" x14ac:dyDescent="0.3">
      <c r="B63" s="33">
        <v>7</v>
      </c>
      <c r="C63" s="31" t="s">
        <v>24</v>
      </c>
      <c r="D63" s="23">
        <v>444149.01</v>
      </c>
      <c r="E63" s="23">
        <v>400197.5</v>
      </c>
      <c r="F63" s="40">
        <f t="shared" ref="F63:F75" si="14">+E63+D63</f>
        <v>844346.51</v>
      </c>
      <c r="G63" s="23">
        <f>+G62+F63</f>
        <v>1828142.2</v>
      </c>
      <c r="H63" s="41">
        <f t="shared" si="12"/>
        <v>43.458818123120786</v>
      </c>
      <c r="I63" s="23">
        <f>+I62+642994.76</f>
        <v>1274332.3999999999</v>
      </c>
      <c r="J63" s="19"/>
    </row>
    <row r="64" spans="2:11" x14ac:dyDescent="0.3">
      <c r="B64" s="33">
        <v>8</v>
      </c>
      <c r="C64" s="31" t="s">
        <v>25</v>
      </c>
      <c r="D64" s="23">
        <v>1015927.5</v>
      </c>
      <c r="E64" s="23">
        <v>0</v>
      </c>
      <c r="F64" s="40">
        <f t="shared" si="14"/>
        <v>1015927.5</v>
      </c>
      <c r="G64" s="23">
        <f t="shared" ref="G64:G75" si="15">+G63+F64</f>
        <v>2844069.7</v>
      </c>
      <c r="H64" s="41">
        <f t="shared" si="12"/>
        <v>34.460849437489699</v>
      </c>
      <c r="I64" s="23">
        <v>2115165.65</v>
      </c>
      <c r="J64" s="19"/>
    </row>
    <row r="65" spans="2:10" x14ac:dyDescent="0.3">
      <c r="B65" s="33">
        <v>9</v>
      </c>
      <c r="C65" s="31" t="s">
        <v>26</v>
      </c>
      <c r="D65" s="23">
        <v>740476</v>
      </c>
      <c r="E65" s="23">
        <v>0</v>
      </c>
      <c r="F65" s="40">
        <f t="shared" si="14"/>
        <v>740476</v>
      </c>
      <c r="G65" s="23">
        <f t="shared" si="15"/>
        <v>3584545.7</v>
      </c>
      <c r="H65" s="41">
        <f t="shared" si="12"/>
        <v>0.90225309423674138</v>
      </c>
      <c r="I65" s="23">
        <f>+I64+1437327.57</f>
        <v>3552493.2199999997</v>
      </c>
      <c r="J65" s="19"/>
    </row>
    <row r="66" spans="2:10" x14ac:dyDescent="0.3">
      <c r="B66" s="33">
        <v>10</v>
      </c>
      <c r="C66" s="31" t="s">
        <v>55</v>
      </c>
      <c r="D66" s="23">
        <v>1376009.52</v>
      </c>
      <c r="E66" s="23">
        <v>0</v>
      </c>
      <c r="F66" s="40">
        <f t="shared" si="14"/>
        <v>1376009.52</v>
      </c>
      <c r="G66" s="23">
        <f t="shared" si="15"/>
        <v>4960555.2200000007</v>
      </c>
      <c r="H66" s="41">
        <f t="shared" si="12"/>
        <v>-6.0773483780277147</v>
      </c>
      <c r="I66" s="23">
        <f>+I65+1729039.12</f>
        <v>5281532.34</v>
      </c>
      <c r="J66" s="19"/>
    </row>
    <row r="67" spans="2:10" x14ac:dyDescent="0.3">
      <c r="B67" s="33">
        <v>11</v>
      </c>
      <c r="C67" s="31" t="s">
        <v>56</v>
      </c>
      <c r="D67" s="23">
        <v>2321141</v>
      </c>
      <c r="E67" s="23">
        <v>0</v>
      </c>
      <c r="F67" s="40">
        <f t="shared" si="14"/>
        <v>2321141</v>
      </c>
      <c r="G67" s="23">
        <f t="shared" si="15"/>
        <v>7281696.2200000007</v>
      </c>
      <c r="H67" s="41">
        <f t="shared" si="12"/>
        <v>13.738088575799301</v>
      </c>
      <c r="I67" s="23">
        <f>+I66+1120629.25</f>
        <v>6402161.5899999999</v>
      </c>
      <c r="J67" s="19"/>
    </row>
    <row r="68" spans="2:10" x14ac:dyDescent="0.3">
      <c r="B68" s="33">
        <v>12</v>
      </c>
      <c r="C68" s="31" t="s">
        <v>71</v>
      </c>
      <c r="D68" s="23">
        <v>2581471.04</v>
      </c>
      <c r="E68" s="23">
        <v>0</v>
      </c>
      <c r="F68" s="40">
        <f t="shared" si="14"/>
        <v>2581471.04</v>
      </c>
      <c r="G68" s="23">
        <f t="shared" si="15"/>
        <v>9863167.2600000016</v>
      </c>
      <c r="H68" s="41">
        <f>((G68-I68)/I68)*100</f>
        <v>37.411411301045021</v>
      </c>
      <c r="I68" s="23">
        <f>+I67+775675.51</f>
        <v>7177837.0999999996</v>
      </c>
      <c r="J68" s="19"/>
    </row>
    <row r="69" spans="2:10" x14ac:dyDescent="0.3">
      <c r="B69" s="33">
        <v>13</v>
      </c>
      <c r="C69" s="31" t="s">
        <v>57</v>
      </c>
      <c r="D69" s="23">
        <v>1448201.05</v>
      </c>
      <c r="E69" s="23">
        <v>0</v>
      </c>
      <c r="F69" s="40">
        <f t="shared" si="14"/>
        <v>1448201.05</v>
      </c>
      <c r="G69" s="23">
        <f t="shared" si="15"/>
        <v>11311368.310000002</v>
      </c>
      <c r="H69" s="41">
        <f>((G69-I69)/I69)*100</f>
        <v>44.164929786056931</v>
      </c>
      <c r="I69" s="23">
        <v>7846130.3499999996</v>
      </c>
      <c r="J69" s="19"/>
    </row>
    <row r="70" spans="2:10" x14ac:dyDescent="0.3">
      <c r="B70" s="33">
        <v>14</v>
      </c>
      <c r="C70" s="49" t="s">
        <v>58</v>
      </c>
      <c r="D70" s="23">
        <v>286016</v>
      </c>
      <c r="E70" s="23">
        <v>67776.5</v>
      </c>
      <c r="F70" s="40">
        <f t="shared" si="14"/>
        <v>353792.5</v>
      </c>
      <c r="G70" s="23">
        <f t="shared" si="15"/>
        <v>11665160.810000002</v>
      </c>
      <c r="H70" s="41">
        <f>((G70-I70)/I70)*100</f>
        <v>27.608803752765137</v>
      </c>
      <c r="I70" s="23">
        <f>+I69+1295214.5</f>
        <v>9141344.8499999996</v>
      </c>
      <c r="J70" s="19"/>
    </row>
    <row r="71" spans="2:10" x14ac:dyDescent="0.3">
      <c r="B71" s="33">
        <v>15</v>
      </c>
      <c r="C71" s="31" t="s">
        <v>59</v>
      </c>
      <c r="D71" s="23">
        <v>636937</v>
      </c>
      <c r="E71" s="23">
        <v>0</v>
      </c>
      <c r="F71" s="40">
        <f t="shared" si="14"/>
        <v>636937</v>
      </c>
      <c r="G71" s="23">
        <f t="shared" si="15"/>
        <v>12302097.810000002</v>
      </c>
      <c r="H71" s="41">
        <f>((G71-I71)/I71)*100</f>
        <v>24.531160005517336</v>
      </c>
      <c r="I71" s="23">
        <f>+I70+737385.75</f>
        <v>9878730.5999999996</v>
      </c>
      <c r="J71" s="19"/>
    </row>
    <row r="72" spans="2:10" x14ac:dyDescent="0.3">
      <c r="B72" s="33">
        <v>16</v>
      </c>
      <c r="C72" s="31" t="s">
        <v>60</v>
      </c>
      <c r="D72" s="23">
        <v>797584.5</v>
      </c>
      <c r="E72" s="23">
        <v>35132</v>
      </c>
      <c r="F72" s="40">
        <f t="shared" si="14"/>
        <v>832716.5</v>
      </c>
      <c r="G72" s="23">
        <f t="shared" si="15"/>
        <v>13134814.310000002</v>
      </c>
      <c r="H72" s="41">
        <f t="shared" ref="H72:H84" si="16">((G72-I72)/I72)*100</f>
        <v>22.724884032454941</v>
      </c>
      <c r="I72" s="23">
        <v>10702649.6</v>
      </c>
      <c r="J72" s="19"/>
    </row>
    <row r="73" spans="2:10" x14ac:dyDescent="0.3">
      <c r="B73" s="33">
        <v>17</v>
      </c>
      <c r="C73" s="31" t="s">
        <v>61</v>
      </c>
      <c r="D73" s="23">
        <v>420456</v>
      </c>
      <c r="E73" s="23">
        <v>77181.5</v>
      </c>
      <c r="F73" s="40">
        <f t="shared" si="14"/>
        <v>497637.5</v>
      </c>
      <c r="G73" s="23">
        <f t="shared" si="15"/>
        <v>13632451.810000002</v>
      </c>
      <c r="H73" s="41">
        <f t="shared" si="16"/>
        <v>18.932883979913807</v>
      </c>
      <c r="I73" s="23">
        <v>11462306.6</v>
      </c>
      <c r="J73" s="19"/>
    </row>
    <row r="74" spans="2:10" x14ac:dyDescent="0.3">
      <c r="B74" s="33">
        <v>18</v>
      </c>
      <c r="C74" s="31" t="s">
        <v>62</v>
      </c>
      <c r="D74" s="23">
        <v>314257.5</v>
      </c>
      <c r="E74" s="23">
        <v>0</v>
      </c>
      <c r="F74" s="40">
        <f t="shared" si="14"/>
        <v>314257.5</v>
      </c>
      <c r="G74" s="23">
        <f t="shared" si="15"/>
        <v>13946709.310000002</v>
      </c>
      <c r="H74" s="41">
        <f t="shared" si="16"/>
        <v>11.933623013400149</v>
      </c>
      <c r="I74" s="23">
        <f>+I73+997496.75</f>
        <v>12459803.35</v>
      </c>
      <c r="J74" s="19"/>
    </row>
    <row r="75" spans="2:10" x14ac:dyDescent="0.3">
      <c r="B75" s="33">
        <v>19</v>
      </c>
      <c r="C75" s="31" t="s">
        <v>63</v>
      </c>
      <c r="D75" s="23">
        <v>317533</v>
      </c>
      <c r="E75" s="23">
        <v>0</v>
      </c>
      <c r="F75" s="40">
        <f t="shared" si="14"/>
        <v>317533</v>
      </c>
      <c r="G75" s="23">
        <f t="shared" si="15"/>
        <v>14264242.310000002</v>
      </c>
      <c r="H75" s="41">
        <f t="shared" si="16"/>
        <v>9.5926069302655179</v>
      </c>
      <c r="I75" s="23">
        <f>+I74+555894.25</f>
        <v>13015697.6</v>
      </c>
      <c r="J75" s="19"/>
    </row>
    <row r="76" spans="2:10" ht="12.6" customHeight="1" x14ac:dyDescent="0.3">
      <c r="B76" s="33">
        <v>20</v>
      </c>
      <c r="C76" s="31" t="s">
        <v>64</v>
      </c>
      <c r="D76" s="23">
        <v>84067.5</v>
      </c>
      <c r="E76" s="23">
        <v>10850</v>
      </c>
      <c r="F76" s="40">
        <f t="shared" ref="F76:F84" si="17">+E76+D76</f>
        <v>94917.5</v>
      </c>
      <c r="G76" s="23">
        <f t="shared" ref="G76:G84" si="18">+G75+F76</f>
        <v>14359159.810000002</v>
      </c>
      <c r="H76" s="41">
        <f t="shared" si="16"/>
        <v>3.2337392885870848</v>
      </c>
      <c r="I76" s="23">
        <f>+I75+893669.54</f>
        <v>13909367.140000001</v>
      </c>
      <c r="J76" s="19"/>
    </row>
    <row r="77" spans="2:10" ht="12.6" customHeight="1" x14ac:dyDescent="0.3">
      <c r="B77" s="33">
        <v>21</v>
      </c>
      <c r="C77" s="31" t="s">
        <v>65</v>
      </c>
      <c r="D77" s="23">
        <v>358629.5</v>
      </c>
      <c r="E77" s="23">
        <v>0</v>
      </c>
      <c r="F77" s="40">
        <f t="shared" si="17"/>
        <v>358629.5</v>
      </c>
      <c r="G77" s="23">
        <f t="shared" si="18"/>
        <v>14717789.310000002</v>
      </c>
      <c r="H77" s="41">
        <f t="shared" si="16"/>
        <v>2.9686926617154374</v>
      </c>
      <c r="I77" s="23">
        <f>+I76+384093.26</f>
        <v>14293460.4</v>
      </c>
      <c r="J77" s="19"/>
    </row>
    <row r="78" spans="2:10" ht="12.6" customHeight="1" x14ac:dyDescent="0.3">
      <c r="B78" s="33">
        <v>22</v>
      </c>
      <c r="C78" s="31" t="s">
        <v>66</v>
      </c>
      <c r="D78" s="23">
        <v>470714</v>
      </c>
      <c r="E78" s="23">
        <v>0</v>
      </c>
      <c r="F78" s="40">
        <f t="shared" si="17"/>
        <v>470714</v>
      </c>
      <c r="G78" s="23">
        <f t="shared" si="18"/>
        <v>15188503.310000002</v>
      </c>
      <c r="H78" s="41">
        <f t="shared" si="16"/>
        <v>4.2363964782628916</v>
      </c>
      <c r="I78" s="23">
        <f>+I77+277748.72</f>
        <v>14571209.120000001</v>
      </c>
      <c r="J78" s="19"/>
    </row>
    <row r="79" spans="2:10" ht="12.6" customHeight="1" x14ac:dyDescent="0.3">
      <c r="B79" s="33">
        <v>23</v>
      </c>
      <c r="C79" s="31" t="s">
        <v>76</v>
      </c>
      <c r="D79" s="23">
        <v>545344</v>
      </c>
      <c r="E79" s="23">
        <v>0</v>
      </c>
      <c r="F79" s="40">
        <f t="shared" si="17"/>
        <v>545344</v>
      </c>
      <c r="G79" s="23">
        <f t="shared" si="18"/>
        <v>15733847.310000002</v>
      </c>
      <c r="H79" s="41">
        <f t="shared" si="16"/>
        <v>7.316131430906486</v>
      </c>
      <c r="I79" s="23">
        <f>+I78+90004.53</f>
        <v>14661213.65</v>
      </c>
      <c r="J79" s="19"/>
    </row>
    <row r="80" spans="2:10" x14ac:dyDescent="0.3">
      <c r="B80" s="33">
        <v>24</v>
      </c>
      <c r="C80" s="31" t="s">
        <v>68</v>
      </c>
      <c r="D80" s="23">
        <v>214752.3</v>
      </c>
      <c r="E80" s="23">
        <v>0</v>
      </c>
      <c r="F80" s="40">
        <f t="shared" si="17"/>
        <v>214752.3</v>
      </c>
      <c r="G80" s="23">
        <f t="shared" si="18"/>
        <v>15948599.610000003</v>
      </c>
      <c r="H80" s="41">
        <f t="shared" si="16"/>
        <v>8.053822837718517</v>
      </c>
      <c r="I80" s="23">
        <f>+I79+98652.49</f>
        <v>14759866.140000001</v>
      </c>
      <c r="J80" s="19"/>
    </row>
    <row r="81" spans="2:10" x14ac:dyDescent="0.3">
      <c r="B81" s="33">
        <v>25</v>
      </c>
      <c r="C81" s="67" t="s">
        <v>69</v>
      </c>
      <c r="D81" s="23">
        <v>268742.7</v>
      </c>
      <c r="E81" s="23"/>
      <c r="F81" s="40">
        <f t="shared" si="17"/>
        <v>268742.7</v>
      </c>
      <c r="G81" s="23">
        <f t="shared" si="18"/>
        <v>16217342.310000002</v>
      </c>
      <c r="H81" s="41">
        <f t="shared" si="16"/>
        <v>9.874589350442454</v>
      </c>
      <c r="I81" s="23">
        <f>+I80+0</f>
        <v>14759866.140000001</v>
      </c>
      <c r="J81" s="19"/>
    </row>
    <row r="82" spans="2:10" x14ac:dyDescent="0.3">
      <c r="B82" s="97">
        <v>26</v>
      </c>
      <c r="C82" s="93" t="s">
        <v>70</v>
      </c>
      <c r="D82" s="94">
        <v>128.5</v>
      </c>
      <c r="E82" s="95">
        <v>0</v>
      </c>
      <c r="F82" s="96">
        <f t="shared" si="17"/>
        <v>128.5</v>
      </c>
      <c r="G82" s="95">
        <f t="shared" si="18"/>
        <v>16217470.810000002</v>
      </c>
      <c r="H82" s="41">
        <f t="shared" si="16"/>
        <v>9.8754599545440165</v>
      </c>
      <c r="I82" s="23">
        <f>+I81+0</f>
        <v>14759866.140000001</v>
      </c>
      <c r="J82" s="19"/>
    </row>
    <row r="83" spans="2:10" x14ac:dyDescent="0.3">
      <c r="B83" s="97">
        <v>27</v>
      </c>
      <c r="C83" s="67" t="s">
        <v>79</v>
      </c>
      <c r="D83" s="102">
        <v>0</v>
      </c>
      <c r="E83" s="103">
        <v>0</v>
      </c>
      <c r="F83" s="104">
        <f t="shared" si="17"/>
        <v>0</v>
      </c>
      <c r="G83" s="103">
        <f t="shared" si="18"/>
        <v>16217470.810000002</v>
      </c>
      <c r="H83" s="41">
        <f t="shared" si="16"/>
        <v>9.8754599545440165</v>
      </c>
      <c r="I83" s="23">
        <f>+I82+0</f>
        <v>14759866.140000001</v>
      </c>
      <c r="J83" s="19"/>
    </row>
    <row r="84" spans="2:10" x14ac:dyDescent="0.3">
      <c r="B84" s="33">
        <v>28</v>
      </c>
      <c r="C84" s="67" t="s">
        <v>80</v>
      </c>
      <c r="D84" s="102">
        <v>26487</v>
      </c>
      <c r="E84" s="103">
        <v>3241</v>
      </c>
      <c r="F84" s="104">
        <f t="shared" si="17"/>
        <v>29728</v>
      </c>
      <c r="G84" s="103">
        <f t="shared" si="18"/>
        <v>16247198.810000002</v>
      </c>
      <c r="H84" s="41">
        <f t="shared" si="16"/>
        <v>10.076870995254174</v>
      </c>
      <c r="I84" s="23">
        <f>+I83+0</f>
        <v>14759866.140000001</v>
      </c>
      <c r="J84" s="19"/>
    </row>
    <row r="85" spans="2:10" x14ac:dyDescent="0.3">
      <c r="B85" s="97">
        <v>29</v>
      </c>
      <c r="C85" s="67" t="s">
        <v>81</v>
      </c>
      <c r="D85" s="94">
        <v>0</v>
      </c>
      <c r="E85" s="95">
        <v>0</v>
      </c>
      <c r="F85" s="104">
        <f t="shared" ref="F85:F89" si="19">+E85+D85</f>
        <v>0</v>
      </c>
      <c r="G85" s="103">
        <f t="shared" ref="G85:G88" si="20">+G84+F85</f>
        <v>16247198.810000002</v>
      </c>
      <c r="H85" s="41">
        <f t="shared" ref="H85:H91" si="21">((G85-I85)/I85)*100</f>
        <v>10.076870995254174</v>
      </c>
      <c r="I85" s="23">
        <f t="shared" ref="I85:I91" si="22">+I84+0</f>
        <v>14759866.140000001</v>
      </c>
      <c r="J85" s="10"/>
    </row>
    <row r="86" spans="2:10" x14ac:dyDescent="0.3">
      <c r="B86" s="97">
        <v>30</v>
      </c>
      <c r="C86" s="67" t="s">
        <v>82</v>
      </c>
      <c r="D86" s="102">
        <v>147438</v>
      </c>
      <c r="E86" s="103">
        <v>0</v>
      </c>
      <c r="F86" s="104">
        <f t="shared" si="19"/>
        <v>147438</v>
      </c>
      <c r="G86" s="103">
        <f t="shared" si="20"/>
        <v>16394636.810000002</v>
      </c>
      <c r="H86" s="41">
        <f t="shared" si="21"/>
        <v>11.075782493512518</v>
      </c>
      <c r="I86" s="23">
        <f t="shared" si="22"/>
        <v>14759866.140000001</v>
      </c>
      <c r="J86" s="10"/>
    </row>
    <row r="87" spans="2:10" x14ac:dyDescent="0.3">
      <c r="B87" s="33">
        <v>31</v>
      </c>
      <c r="C87" s="67" t="s">
        <v>83</v>
      </c>
      <c r="D87" s="102">
        <v>19192.5</v>
      </c>
      <c r="E87" s="103">
        <v>0</v>
      </c>
      <c r="F87" s="104">
        <f t="shared" si="19"/>
        <v>19192.5</v>
      </c>
      <c r="G87" s="103">
        <f t="shared" si="20"/>
        <v>16413829.310000002</v>
      </c>
      <c r="H87" s="41">
        <f t="shared" si="21"/>
        <v>11.205814160588327</v>
      </c>
      <c r="I87" s="23">
        <f t="shared" si="22"/>
        <v>14759866.140000001</v>
      </c>
      <c r="J87" s="10"/>
    </row>
    <row r="88" spans="2:10" x14ac:dyDescent="0.3">
      <c r="B88" s="97">
        <v>32</v>
      </c>
      <c r="C88" s="67" t="s">
        <v>84</v>
      </c>
      <c r="D88" s="102">
        <v>4320</v>
      </c>
      <c r="E88" s="103">
        <v>0</v>
      </c>
      <c r="F88" s="104">
        <f t="shared" si="19"/>
        <v>4320</v>
      </c>
      <c r="G88" s="103">
        <f t="shared" si="20"/>
        <v>16418149.310000002</v>
      </c>
      <c r="H88" s="41">
        <f t="shared" si="21"/>
        <v>11.235082718710901</v>
      </c>
      <c r="I88" s="23">
        <f t="shared" si="22"/>
        <v>14759866.140000001</v>
      </c>
      <c r="J88" s="10"/>
    </row>
    <row r="89" spans="2:10" x14ac:dyDescent="0.3">
      <c r="B89" s="97">
        <v>33</v>
      </c>
      <c r="C89" s="67" t="s">
        <v>85</v>
      </c>
      <c r="D89" s="94">
        <f>35990+15251.5+718.5</f>
        <v>51960</v>
      </c>
      <c r="E89" s="95">
        <f>3862-7299+6268</f>
        <v>2831</v>
      </c>
      <c r="F89" s="96">
        <f t="shared" si="19"/>
        <v>54791</v>
      </c>
      <c r="G89" s="95">
        <f>+G88+F89</f>
        <v>16472940.310000002</v>
      </c>
      <c r="H89" s="41">
        <f t="shared" si="21"/>
        <v>11.606298822436351</v>
      </c>
      <c r="I89" s="23">
        <f t="shared" si="22"/>
        <v>14759866.140000001</v>
      </c>
      <c r="J89" s="10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16472940.310000002</v>
      </c>
      <c r="H90" s="41">
        <f t="shared" si="21"/>
        <v>11.606298822436351</v>
      </c>
      <c r="I90" s="23">
        <f t="shared" si="22"/>
        <v>14759866.140000001</v>
      </c>
      <c r="J90" s="10"/>
    </row>
    <row r="91" spans="2:10" x14ac:dyDescent="0.3">
      <c r="B91" s="33">
        <v>35</v>
      </c>
      <c r="C91" s="67" t="s">
        <v>86</v>
      </c>
      <c r="D91" s="23">
        <v>79699.5</v>
      </c>
      <c r="E91" s="23">
        <v>0</v>
      </c>
      <c r="F91" s="40">
        <f>+E91+D91</f>
        <v>79699.5</v>
      </c>
      <c r="G91" s="40">
        <f>+G90+F91</f>
        <v>16552639.810000002</v>
      </c>
      <c r="H91" s="41">
        <f t="shared" si="21"/>
        <v>12.146273231716462</v>
      </c>
      <c r="I91" s="23">
        <f t="shared" si="22"/>
        <v>14759866.140000001</v>
      </c>
      <c r="J91" s="10"/>
    </row>
    <row r="92" spans="2:10" hidden="1" x14ac:dyDescent="0.3">
      <c r="B92" s="97">
        <v>36</v>
      </c>
      <c r="C92" s="67"/>
      <c r="D92" s="102"/>
      <c r="E92" s="103"/>
      <c r="F92" s="104"/>
      <c r="G92" s="103"/>
      <c r="H92" s="41"/>
      <c r="I92" s="23"/>
      <c r="J92" s="10"/>
    </row>
    <row r="93" spans="2:10" hidden="1" x14ac:dyDescent="0.3">
      <c r="B93" s="33">
        <v>37</v>
      </c>
      <c r="C93" s="67"/>
      <c r="D93" s="102"/>
      <c r="E93" s="103"/>
      <c r="F93" s="104"/>
      <c r="G93" s="103"/>
      <c r="H93" s="41"/>
      <c r="I93" s="23"/>
      <c r="J93" s="10"/>
    </row>
    <row r="94" spans="2:10" hidden="1" x14ac:dyDescent="0.3">
      <c r="B94" s="97">
        <v>38</v>
      </c>
      <c r="C94" s="67"/>
      <c r="D94" s="102"/>
      <c r="E94" s="103"/>
      <c r="F94" s="104"/>
      <c r="G94" s="103"/>
      <c r="H94" s="41"/>
      <c r="I94" s="23"/>
      <c r="J94" s="10"/>
    </row>
    <row r="95" spans="2:10" hidden="1" x14ac:dyDescent="0.3">
      <c r="B95" s="97">
        <v>39</v>
      </c>
      <c r="C95" s="67"/>
      <c r="D95" s="102"/>
      <c r="E95" s="103"/>
      <c r="F95" s="104"/>
      <c r="G95" s="103"/>
      <c r="H95" s="41"/>
      <c r="I95" s="23"/>
      <c r="J95" s="10"/>
    </row>
    <row r="96" spans="2:10" hidden="1" x14ac:dyDescent="0.3">
      <c r="B96" s="33">
        <v>40</v>
      </c>
      <c r="C96" s="67"/>
      <c r="D96" s="102"/>
      <c r="E96" s="103"/>
      <c r="F96" s="104"/>
      <c r="G96" s="103"/>
      <c r="H96" s="41"/>
      <c r="I96" s="23"/>
      <c r="J96" s="10"/>
    </row>
    <row r="97" spans="2:10" ht="12.6" customHeight="1" x14ac:dyDescent="0.3">
      <c r="B97" s="5"/>
      <c r="C97" s="5"/>
      <c r="D97" s="6"/>
      <c r="E97" s="6"/>
      <c r="F97" s="6"/>
      <c r="G97" s="6"/>
      <c r="H97" s="7"/>
      <c r="I97" s="6"/>
      <c r="J97" s="5"/>
    </row>
    <row r="98" spans="2:10" x14ac:dyDescent="0.3">
      <c r="B98" s="8" t="s">
        <v>27</v>
      </c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9" t="s">
        <v>28</v>
      </c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9" t="s">
        <v>29</v>
      </c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9" t="s">
        <v>30</v>
      </c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ht="18" x14ac:dyDescent="0.35">
      <c r="B104" s="10"/>
      <c r="C104" s="10"/>
      <c r="D104" s="133" t="s">
        <v>33</v>
      </c>
      <c r="E104" s="133"/>
      <c r="F104" s="133"/>
      <c r="G104" s="133"/>
      <c r="H104" s="133"/>
      <c r="I104" s="133"/>
      <c r="J104" s="10"/>
    </row>
    <row r="105" spans="2:10" s="28" customFormat="1" ht="15.6" x14ac:dyDescent="0.3">
      <c r="B105" s="24"/>
      <c r="C105" s="24"/>
      <c r="D105" s="134" t="s">
        <v>39</v>
      </c>
      <c r="E105" s="134"/>
      <c r="F105" s="134"/>
      <c r="G105" s="134"/>
      <c r="H105" s="134"/>
      <c r="I105" s="134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28" t="s">
        <v>6</v>
      </c>
      <c r="E107" s="129"/>
      <c r="F107" s="129"/>
      <c r="G107" s="130"/>
      <c r="H107" s="120" t="s">
        <v>7</v>
      </c>
      <c r="I107" s="121"/>
      <c r="J107" s="4"/>
    </row>
    <row r="108" spans="2:10" x14ac:dyDescent="0.3">
      <c r="B108" s="12"/>
      <c r="C108" s="13"/>
      <c r="D108" s="124" t="s">
        <v>9</v>
      </c>
      <c r="E108" s="125"/>
      <c r="F108" s="125"/>
      <c r="G108" s="126"/>
      <c r="H108" s="122"/>
      <c r="I108" s="123"/>
      <c r="J108" s="4"/>
    </row>
    <row r="109" spans="2:10" ht="14.4" customHeight="1" x14ac:dyDescent="0.3">
      <c r="B109" s="111" t="s">
        <v>10</v>
      </c>
      <c r="C109" s="113" t="s">
        <v>11</v>
      </c>
      <c r="D109" s="16" t="s">
        <v>12</v>
      </c>
      <c r="E109" s="16" t="s">
        <v>13</v>
      </c>
      <c r="F109" s="16" t="s">
        <v>14</v>
      </c>
      <c r="G109" s="16" t="s">
        <v>15</v>
      </c>
      <c r="H109" s="115" t="s">
        <v>16</v>
      </c>
      <c r="I109" s="113" t="s">
        <v>17</v>
      </c>
      <c r="J109" s="17"/>
    </row>
    <row r="110" spans="2:10" ht="37.65" customHeight="1" x14ac:dyDescent="0.3">
      <c r="B110" s="112"/>
      <c r="C110" s="114"/>
      <c r="D110" s="117" t="s">
        <v>20</v>
      </c>
      <c r="E110" s="118"/>
      <c r="F110" s="118"/>
      <c r="G110" s="119"/>
      <c r="H110" s="116"/>
      <c r="I110" s="114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e">
        <f t="shared" ref="H111:H115" si="23">((G111-I111)/I111)*100</f>
        <v>#DIV/0!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0</v>
      </c>
      <c r="E112" s="23">
        <v>0</v>
      </c>
      <c r="F112" s="40">
        <f>+E112+D112</f>
        <v>0</v>
      </c>
      <c r="G112" s="23">
        <f>+G111+F112</f>
        <v>0</v>
      </c>
      <c r="H112" s="41" t="e">
        <f t="shared" si="23"/>
        <v>#DIV/0!</v>
      </c>
      <c r="I112" s="23">
        <v>0</v>
      </c>
      <c r="J112" s="19"/>
    </row>
    <row r="113" spans="2:10" x14ac:dyDescent="0.3">
      <c r="B113" s="33">
        <v>6</v>
      </c>
      <c r="C113" s="31" t="s">
        <v>23</v>
      </c>
      <c r="D113" s="23">
        <v>0</v>
      </c>
      <c r="E113" s="23">
        <v>0</v>
      </c>
      <c r="F113" s="40">
        <f>+E113+D113</f>
        <v>0</v>
      </c>
      <c r="G113" s="23">
        <f t="shared" ref="G113" si="24">+G112+F113</f>
        <v>0</v>
      </c>
      <c r="H113" s="41" t="e">
        <f t="shared" si="23"/>
        <v>#DIV/0!</v>
      </c>
      <c r="I113" s="23">
        <v>0</v>
      </c>
      <c r="J113" s="19"/>
    </row>
    <row r="114" spans="2:10" x14ac:dyDescent="0.3">
      <c r="B114" s="33">
        <v>7</v>
      </c>
      <c r="C114" s="31" t="s">
        <v>24</v>
      </c>
      <c r="D114" s="23">
        <v>0</v>
      </c>
      <c r="E114" s="23">
        <v>0</v>
      </c>
      <c r="F114" s="40">
        <f t="shared" ref="F114:F126" si="25">+E114+D114</f>
        <v>0</v>
      </c>
      <c r="G114" s="23">
        <f>+G113+F114</f>
        <v>0</v>
      </c>
      <c r="H114" s="41" t="e">
        <f t="shared" si="23"/>
        <v>#DIV/0!</v>
      </c>
      <c r="I114" s="23">
        <v>0</v>
      </c>
      <c r="J114" s="19"/>
    </row>
    <row r="115" spans="2:10" x14ac:dyDescent="0.3">
      <c r="B115" s="33">
        <v>8</v>
      </c>
      <c r="C115" s="31" t="s">
        <v>25</v>
      </c>
      <c r="D115" s="23">
        <v>0</v>
      </c>
      <c r="E115" s="23">
        <v>0</v>
      </c>
      <c r="F115" s="40">
        <f t="shared" si="25"/>
        <v>0</v>
      </c>
      <c r="G115" s="23">
        <f t="shared" ref="G115:G126" si="26">+G114+F115</f>
        <v>0</v>
      </c>
      <c r="H115" s="41" t="e">
        <f t="shared" si="23"/>
        <v>#DIV/0!</v>
      </c>
      <c r="I115" s="23">
        <v>0</v>
      </c>
      <c r="J115" s="19"/>
    </row>
    <row r="116" spans="2:10" x14ac:dyDescent="0.3">
      <c r="B116" s="33">
        <v>9</v>
      </c>
      <c r="C116" s="31" t="s">
        <v>26</v>
      </c>
      <c r="D116" s="23">
        <v>0</v>
      </c>
      <c r="E116" s="23">
        <v>0</v>
      </c>
      <c r="F116" s="40">
        <f t="shared" si="25"/>
        <v>0</v>
      </c>
      <c r="G116" s="23">
        <f t="shared" si="26"/>
        <v>0</v>
      </c>
      <c r="H116" s="11" t="e">
        <f t="shared" ref="H116:H128" si="27">+H115</f>
        <v>#DIV/0!</v>
      </c>
      <c r="I116" s="23">
        <v>0</v>
      </c>
      <c r="J116" s="19"/>
    </row>
    <row r="117" spans="2:10" x14ac:dyDescent="0.3">
      <c r="B117" s="33">
        <v>10</v>
      </c>
      <c r="C117" s="31" t="s">
        <v>55</v>
      </c>
      <c r="D117" s="23">
        <v>0</v>
      </c>
      <c r="E117" s="23">
        <v>0</v>
      </c>
      <c r="F117" s="40">
        <f t="shared" si="25"/>
        <v>0</v>
      </c>
      <c r="G117" s="23">
        <f t="shared" si="26"/>
        <v>0</v>
      </c>
      <c r="H117" s="11" t="e">
        <f t="shared" si="27"/>
        <v>#DIV/0!</v>
      </c>
      <c r="I117" s="23">
        <v>0</v>
      </c>
      <c r="J117" s="19"/>
    </row>
    <row r="118" spans="2:10" x14ac:dyDescent="0.3">
      <c r="B118" s="33">
        <v>11</v>
      </c>
      <c r="C118" s="31" t="s">
        <v>56</v>
      </c>
      <c r="D118" s="23">
        <v>0</v>
      </c>
      <c r="E118" s="23">
        <v>0</v>
      </c>
      <c r="F118" s="40">
        <f t="shared" si="25"/>
        <v>0</v>
      </c>
      <c r="G118" s="23">
        <f>+G117+F118</f>
        <v>0</v>
      </c>
      <c r="H118" s="11" t="e">
        <f t="shared" si="27"/>
        <v>#DIV/0!</v>
      </c>
      <c r="I118" s="23">
        <v>0</v>
      </c>
      <c r="J118" s="19"/>
    </row>
    <row r="119" spans="2:10" x14ac:dyDescent="0.3">
      <c r="B119" s="33">
        <v>12</v>
      </c>
      <c r="C119" s="31" t="s">
        <v>71</v>
      </c>
      <c r="D119" s="23">
        <v>0</v>
      </c>
      <c r="E119" s="23">
        <v>0</v>
      </c>
      <c r="F119" s="40">
        <f t="shared" si="25"/>
        <v>0</v>
      </c>
      <c r="G119" s="23">
        <f t="shared" si="26"/>
        <v>0</v>
      </c>
      <c r="H119" s="11" t="e">
        <f t="shared" si="27"/>
        <v>#DIV/0!</v>
      </c>
      <c r="I119" s="23">
        <v>0</v>
      </c>
      <c r="J119" s="19"/>
    </row>
    <row r="120" spans="2:10" x14ac:dyDescent="0.3">
      <c r="B120" s="33">
        <v>13</v>
      </c>
      <c r="C120" s="31" t="s">
        <v>57</v>
      </c>
      <c r="D120" s="23">
        <v>2064</v>
      </c>
      <c r="E120" s="23">
        <v>0</v>
      </c>
      <c r="F120" s="40">
        <f t="shared" si="25"/>
        <v>2064</v>
      </c>
      <c r="G120" s="23">
        <f t="shared" si="26"/>
        <v>2064</v>
      </c>
      <c r="H120" s="11" t="e">
        <f t="shared" si="27"/>
        <v>#DIV/0!</v>
      </c>
      <c r="I120" s="23">
        <v>0</v>
      </c>
      <c r="J120" s="19"/>
    </row>
    <row r="121" spans="2:10" x14ac:dyDescent="0.3">
      <c r="B121" s="33">
        <v>14</v>
      </c>
      <c r="C121" s="49" t="s">
        <v>58</v>
      </c>
      <c r="D121" s="23">
        <v>1739</v>
      </c>
      <c r="E121" s="23">
        <v>0</v>
      </c>
      <c r="F121" s="40">
        <f t="shared" si="25"/>
        <v>1739</v>
      </c>
      <c r="G121" s="23">
        <f t="shared" si="26"/>
        <v>3803</v>
      </c>
      <c r="H121" s="11" t="e">
        <f t="shared" si="27"/>
        <v>#DIV/0!</v>
      </c>
      <c r="I121" s="23">
        <v>0</v>
      </c>
      <c r="J121" s="19"/>
    </row>
    <row r="122" spans="2:10" x14ac:dyDescent="0.3">
      <c r="B122" s="33">
        <v>15</v>
      </c>
      <c r="C122" s="31" t="s">
        <v>59</v>
      </c>
      <c r="D122" s="23">
        <v>0</v>
      </c>
      <c r="E122" s="23">
        <v>0</v>
      </c>
      <c r="F122" s="40">
        <f t="shared" si="25"/>
        <v>0</v>
      </c>
      <c r="G122" s="23">
        <f t="shared" si="26"/>
        <v>3803</v>
      </c>
      <c r="H122" s="11" t="e">
        <f t="shared" si="27"/>
        <v>#DIV/0!</v>
      </c>
      <c r="I122" s="23">
        <v>0</v>
      </c>
      <c r="J122" s="19"/>
    </row>
    <row r="123" spans="2:10" x14ac:dyDescent="0.3">
      <c r="B123" s="33">
        <v>16</v>
      </c>
      <c r="C123" s="31" t="s">
        <v>60</v>
      </c>
      <c r="D123" s="23">
        <v>0</v>
      </c>
      <c r="E123" s="23">
        <v>0</v>
      </c>
      <c r="F123" s="40">
        <f t="shared" si="25"/>
        <v>0</v>
      </c>
      <c r="G123" s="23">
        <f t="shared" si="26"/>
        <v>3803</v>
      </c>
      <c r="H123" s="11" t="e">
        <f t="shared" si="27"/>
        <v>#DIV/0!</v>
      </c>
      <c r="I123" s="23">
        <v>0</v>
      </c>
      <c r="J123" s="19"/>
    </row>
    <row r="124" spans="2:10" x14ac:dyDescent="0.3">
      <c r="B124" s="33">
        <v>17</v>
      </c>
      <c r="C124" s="31" t="s">
        <v>61</v>
      </c>
      <c r="D124" s="23">
        <v>0</v>
      </c>
      <c r="E124" s="23">
        <v>0</v>
      </c>
      <c r="F124" s="40">
        <f t="shared" si="25"/>
        <v>0</v>
      </c>
      <c r="G124" s="23">
        <f t="shared" si="26"/>
        <v>3803</v>
      </c>
      <c r="H124" s="11" t="e">
        <f t="shared" si="27"/>
        <v>#DIV/0!</v>
      </c>
      <c r="I124" s="23">
        <v>0</v>
      </c>
      <c r="J124" s="19"/>
    </row>
    <row r="125" spans="2:10" x14ac:dyDescent="0.3">
      <c r="B125" s="33">
        <v>18</v>
      </c>
      <c r="C125" s="31" t="s">
        <v>62</v>
      </c>
      <c r="D125" s="23">
        <v>0</v>
      </c>
      <c r="E125" s="23">
        <v>0</v>
      </c>
      <c r="F125" s="40">
        <f t="shared" si="25"/>
        <v>0</v>
      </c>
      <c r="G125" s="23">
        <f t="shared" si="26"/>
        <v>3803</v>
      </c>
      <c r="H125" s="11" t="e">
        <f t="shared" si="27"/>
        <v>#DIV/0!</v>
      </c>
      <c r="I125" s="23">
        <v>0</v>
      </c>
      <c r="J125" s="19"/>
    </row>
    <row r="126" spans="2:10" x14ac:dyDescent="0.3">
      <c r="B126" s="33">
        <v>19</v>
      </c>
      <c r="C126" s="31" t="s">
        <v>63</v>
      </c>
      <c r="D126" s="23">
        <v>15557</v>
      </c>
      <c r="E126" s="23">
        <v>0</v>
      </c>
      <c r="F126" s="40">
        <f t="shared" si="25"/>
        <v>15557</v>
      </c>
      <c r="G126" s="23">
        <f t="shared" si="26"/>
        <v>19360</v>
      </c>
      <c r="H126" s="11" t="e">
        <f t="shared" si="27"/>
        <v>#DIV/0!</v>
      </c>
      <c r="I126" s="23">
        <v>0</v>
      </c>
      <c r="J126" s="19"/>
    </row>
    <row r="127" spans="2:10" x14ac:dyDescent="0.3">
      <c r="B127" s="33">
        <v>20</v>
      </c>
      <c r="C127" s="31" t="s">
        <v>64</v>
      </c>
      <c r="D127" s="23">
        <v>0</v>
      </c>
      <c r="E127" s="23">
        <v>0</v>
      </c>
      <c r="F127" s="40">
        <f t="shared" ref="F127:F135" si="28">+E127+D127</f>
        <v>0</v>
      </c>
      <c r="G127" s="23">
        <f t="shared" ref="G127:G135" si="29">+G126+F127</f>
        <v>19360</v>
      </c>
      <c r="H127" s="11" t="e">
        <f t="shared" si="27"/>
        <v>#DIV/0!</v>
      </c>
      <c r="I127" s="23">
        <v>0</v>
      </c>
      <c r="J127" s="19"/>
    </row>
    <row r="128" spans="2:10" x14ac:dyDescent="0.3">
      <c r="B128" s="33">
        <v>21</v>
      </c>
      <c r="C128" s="31" t="s">
        <v>65</v>
      </c>
      <c r="D128" s="23">
        <v>0</v>
      </c>
      <c r="E128" s="23">
        <v>0</v>
      </c>
      <c r="F128" s="40">
        <f t="shared" si="28"/>
        <v>0</v>
      </c>
      <c r="G128" s="23">
        <f t="shared" si="29"/>
        <v>19360</v>
      </c>
      <c r="H128" s="11" t="e">
        <f t="shared" si="27"/>
        <v>#DIV/0!</v>
      </c>
      <c r="I128" s="23">
        <v>0</v>
      </c>
      <c r="J128" s="19"/>
    </row>
    <row r="129" spans="2:10" x14ac:dyDescent="0.3">
      <c r="B129" s="33">
        <v>22</v>
      </c>
      <c r="C129" s="31" t="s">
        <v>66</v>
      </c>
      <c r="D129" s="23">
        <v>0</v>
      </c>
      <c r="E129" s="23">
        <v>0</v>
      </c>
      <c r="F129" s="40">
        <f t="shared" si="28"/>
        <v>0</v>
      </c>
      <c r="G129" s="23">
        <f t="shared" si="29"/>
        <v>19360</v>
      </c>
      <c r="H129" s="11" t="e">
        <f>+H128</f>
        <v>#DIV/0!</v>
      </c>
      <c r="I129" s="23">
        <f>+I128+0</f>
        <v>0</v>
      </c>
      <c r="J129" s="19"/>
    </row>
    <row r="130" spans="2:10" x14ac:dyDescent="0.3">
      <c r="B130" s="33">
        <v>23</v>
      </c>
      <c r="C130" s="31" t="s">
        <v>76</v>
      </c>
      <c r="D130" s="23">
        <v>0</v>
      </c>
      <c r="E130" s="23">
        <v>0</v>
      </c>
      <c r="F130" s="40">
        <f t="shared" si="28"/>
        <v>0</v>
      </c>
      <c r="G130" s="23">
        <f t="shared" si="29"/>
        <v>19360</v>
      </c>
      <c r="H130" s="11" t="e">
        <f>+H129</f>
        <v>#DIV/0!</v>
      </c>
      <c r="I130" s="23">
        <v>0</v>
      </c>
      <c r="J130" s="19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28"/>
        <v>0</v>
      </c>
      <c r="G131" s="23">
        <f t="shared" si="29"/>
        <v>19360</v>
      </c>
      <c r="H131" s="41" t="e">
        <f t="shared" ref="H131:H135" si="30">((G131-I131)/I131)*100</f>
        <v>#DIV/0!</v>
      </c>
      <c r="I131" s="23">
        <v>0</v>
      </c>
      <c r="J131" s="19"/>
    </row>
    <row r="132" spans="2:10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28"/>
        <v>0</v>
      </c>
      <c r="G132" s="23">
        <f t="shared" si="29"/>
        <v>19360</v>
      </c>
      <c r="H132" s="41" t="e">
        <f t="shared" si="30"/>
        <v>#DIV/0!</v>
      </c>
      <c r="I132" s="23">
        <f>+I131+0</f>
        <v>0</v>
      </c>
      <c r="J132" s="19"/>
    </row>
    <row r="133" spans="2:10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28"/>
        <v>0</v>
      </c>
      <c r="G133" s="95">
        <f t="shared" si="29"/>
        <v>19360</v>
      </c>
      <c r="H133" s="41" t="e">
        <f t="shared" si="30"/>
        <v>#DIV/0!</v>
      </c>
      <c r="I133" s="23">
        <f>+I132+0</f>
        <v>0</v>
      </c>
      <c r="J133" s="19"/>
    </row>
    <row r="134" spans="2:10" x14ac:dyDescent="0.3">
      <c r="B134" s="97">
        <v>27</v>
      </c>
      <c r="C134" s="93" t="s">
        <v>79</v>
      </c>
      <c r="D134" s="94">
        <v>0</v>
      </c>
      <c r="E134" s="95">
        <v>0</v>
      </c>
      <c r="F134" s="96">
        <f t="shared" si="28"/>
        <v>0</v>
      </c>
      <c r="G134" s="95">
        <f t="shared" si="29"/>
        <v>19360</v>
      </c>
      <c r="H134" s="41" t="e">
        <f t="shared" si="30"/>
        <v>#DIV/0!</v>
      </c>
      <c r="I134" s="23">
        <f>+I133+0</f>
        <v>0</v>
      </c>
      <c r="J134" s="19"/>
    </row>
    <row r="135" spans="2:10" x14ac:dyDescent="0.3">
      <c r="B135" s="33">
        <v>28</v>
      </c>
      <c r="C135" s="93" t="s">
        <v>80</v>
      </c>
      <c r="D135" s="94">
        <v>0</v>
      </c>
      <c r="E135" s="95">
        <v>0</v>
      </c>
      <c r="F135" s="96">
        <f t="shared" si="28"/>
        <v>0</v>
      </c>
      <c r="G135" s="95">
        <f t="shared" si="29"/>
        <v>19360</v>
      </c>
      <c r="H135" s="41" t="e">
        <f t="shared" si="30"/>
        <v>#DIV/0!</v>
      </c>
      <c r="I135" s="23">
        <f>+I134+0</f>
        <v>0</v>
      </c>
      <c r="J135" s="19"/>
    </row>
    <row r="136" spans="2:10" x14ac:dyDescent="0.3">
      <c r="B136" s="97">
        <v>29</v>
      </c>
      <c r="C136" s="67" t="s">
        <v>81</v>
      </c>
      <c r="D136" s="94">
        <v>0</v>
      </c>
      <c r="E136" s="95">
        <v>0</v>
      </c>
      <c r="F136" s="96">
        <f t="shared" ref="F136:F140" si="31">+E136+D136</f>
        <v>0</v>
      </c>
      <c r="G136" s="95">
        <f t="shared" ref="G136:G139" si="32">+G135+F136</f>
        <v>19360</v>
      </c>
      <c r="H136" s="41" t="e">
        <f t="shared" ref="H136:H142" si="33">((G136-I136)/I136)*100</f>
        <v>#DIV/0!</v>
      </c>
      <c r="I136" s="23">
        <f t="shared" ref="I136:I142" si="34">+I135+0</f>
        <v>0</v>
      </c>
      <c r="J136" s="10"/>
    </row>
    <row r="137" spans="2:10" x14ac:dyDescent="0.3">
      <c r="B137" s="97">
        <v>30</v>
      </c>
      <c r="C137" s="67" t="s">
        <v>82</v>
      </c>
      <c r="D137" s="94">
        <v>0</v>
      </c>
      <c r="E137" s="95">
        <v>0</v>
      </c>
      <c r="F137" s="96">
        <f t="shared" si="31"/>
        <v>0</v>
      </c>
      <c r="G137" s="95">
        <f t="shared" si="32"/>
        <v>19360</v>
      </c>
      <c r="H137" s="41" t="e">
        <f t="shared" si="33"/>
        <v>#DIV/0!</v>
      </c>
      <c r="I137" s="23">
        <f t="shared" si="34"/>
        <v>0</v>
      </c>
      <c r="J137" s="10"/>
    </row>
    <row r="138" spans="2:10" x14ac:dyDescent="0.3">
      <c r="B138" s="33">
        <v>31</v>
      </c>
      <c r="C138" s="67" t="s">
        <v>83</v>
      </c>
      <c r="D138" s="94">
        <v>0</v>
      </c>
      <c r="E138" s="95">
        <v>0</v>
      </c>
      <c r="F138" s="96">
        <f t="shared" si="31"/>
        <v>0</v>
      </c>
      <c r="G138" s="95">
        <f t="shared" si="32"/>
        <v>19360</v>
      </c>
      <c r="H138" s="41" t="e">
        <f t="shared" si="33"/>
        <v>#DIV/0!</v>
      </c>
      <c r="I138" s="23">
        <f t="shared" si="34"/>
        <v>0</v>
      </c>
      <c r="J138" s="10"/>
    </row>
    <row r="139" spans="2:10" x14ac:dyDescent="0.3">
      <c r="B139" s="97">
        <v>32</v>
      </c>
      <c r="C139" s="67" t="s">
        <v>84</v>
      </c>
      <c r="D139" s="94">
        <v>0</v>
      </c>
      <c r="E139" s="95">
        <v>0</v>
      </c>
      <c r="F139" s="96">
        <f t="shared" si="31"/>
        <v>0</v>
      </c>
      <c r="G139" s="95">
        <f t="shared" si="32"/>
        <v>19360</v>
      </c>
      <c r="H139" s="41" t="e">
        <f t="shared" si="33"/>
        <v>#DIV/0!</v>
      </c>
      <c r="I139" s="23">
        <f t="shared" si="34"/>
        <v>0</v>
      </c>
      <c r="J139" s="10"/>
    </row>
    <row r="140" spans="2:10" x14ac:dyDescent="0.3">
      <c r="B140" s="97">
        <v>33</v>
      </c>
      <c r="C140" s="67" t="s">
        <v>85</v>
      </c>
      <c r="D140" s="94">
        <v>0</v>
      </c>
      <c r="E140" s="95">
        <v>0</v>
      </c>
      <c r="F140" s="96">
        <f t="shared" si="31"/>
        <v>0</v>
      </c>
      <c r="G140" s="95">
        <f>+G139+F140</f>
        <v>19360</v>
      </c>
      <c r="H140" s="41" t="e">
        <f t="shared" si="33"/>
        <v>#DIV/0!</v>
      </c>
      <c r="I140" s="23">
        <f t="shared" si="34"/>
        <v>0</v>
      </c>
      <c r="J140" s="10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19360</v>
      </c>
      <c r="H141" s="41" t="e">
        <f t="shared" si="33"/>
        <v>#DIV/0!</v>
      </c>
      <c r="I141" s="23">
        <f t="shared" si="34"/>
        <v>0</v>
      </c>
      <c r="J141" s="10"/>
    </row>
    <row r="142" spans="2:10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19360</v>
      </c>
      <c r="H142" s="41" t="e">
        <f t="shared" si="33"/>
        <v>#DIV/0!</v>
      </c>
      <c r="I142" s="23">
        <f t="shared" si="34"/>
        <v>0</v>
      </c>
      <c r="J142" s="10"/>
    </row>
    <row r="143" spans="2:10" hidden="1" x14ac:dyDescent="0.3">
      <c r="B143" s="97">
        <v>36</v>
      </c>
      <c r="C143" s="67"/>
      <c r="D143" s="94"/>
      <c r="E143" s="95"/>
      <c r="F143" s="96"/>
      <c r="G143" s="96"/>
      <c r="H143" s="41"/>
      <c r="I143" s="23"/>
      <c r="J143" s="10"/>
    </row>
    <row r="144" spans="2:10" hidden="1" x14ac:dyDescent="0.3">
      <c r="B144" s="33">
        <v>37</v>
      </c>
      <c r="C144" s="67"/>
      <c r="D144" s="94"/>
      <c r="E144" s="95"/>
      <c r="F144" s="96"/>
      <c r="G144" s="96"/>
      <c r="H144" s="41"/>
      <c r="I144" s="23"/>
      <c r="J144" s="10"/>
    </row>
    <row r="145" spans="2:10" hidden="1" x14ac:dyDescent="0.3">
      <c r="B145" s="97">
        <v>38</v>
      </c>
      <c r="C145" s="67"/>
      <c r="D145" s="94"/>
      <c r="E145" s="95"/>
      <c r="F145" s="96"/>
      <c r="G145" s="96"/>
      <c r="H145" s="41"/>
      <c r="I145" s="23"/>
      <c r="J145" s="10"/>
    </row>
    <row r="146" spans="2:10" hidden="1" x14ac:dyDescent="0.3">
      <c r="B146" s="97">
        <v>39</v>
      </c>
      <c r="C146" s="67"/>
      <c r="D146" s="94"/>
      <c r="E146" s="95"/>
      <c r="F146" s="96"/>
      <c r="G146" s="96"/>
      <c r="H146" s="41"/>
      <c r="I146" s="23"/>
      <c r="J146" s="10"/>
    </row>
    <row r="147" spans="2:10" hidden="1" x14ac:dyDescent="0.3">
      <c r="B147" s="33">
        <v>40</v>
      </c>
      <c r="C147" s="67"/>
      <c r="D147" s="94"/>
      <c r="E147" s="95"/>
      <c r="F147" s="96"/>
      <c r="G147" s="96"/>
      <c r="H147" s="41"/>
      <c r="I147" s="23"/>
      <c r="J147" s="10"/>
    </row>
    <row r="148" spans="2:10" x14ac:dyDescent="0.3">
      <c r="B148" s="5"/>
      <c r="C148" s="5"/>
      <c r="D148" s="6"/>
      <c r="E148" s="6"/>
      <c r="F148" s="6"/>
      <c r="G148" s="6"/>
      <c r="H148" s="7"/>
      <c r="I148" s="6"/>
      <c r="J148" s="5"/>
    </row>
    <row r="149" spans="2:10" x14ac:dyDescent="0.3">
      <c r="B149" s="8" t="s">
        <v>27</v>
      </c>
      <c r="C149" s="5"/>
      <c r="D149" s="5"/>
      <c r="E149" s="5"/>
      <c r="F149" s="5"/>
      <c r="G149" s="5"/>
      <c r="H149" s="5"/>
      <c r="I149" s="5"/>
      <c r="J149" s="5"/>
    </row>
    <row r="150" spans="2:10" x14ac:dyDescent="0.3">
      <c r="B150" s="9" t="s">
        <v>28</v>
      </c>
      <c r="C150" s="5"/>
      <c r="D150" s="5"/>
      <c r="E150" s="5"/>
      <c r="F150" s="5"/>
      <c r="G150" s="5"/>
      <c r="H150" s="5"/>
      <c r="I150" s="5"/>
      <c r="J150" s="5"/>
    </row>
    <row r="151" spans="2:10" x14ac:dyDescent="0.3">
      <c r="B151" s="9" t="s">
        <v>29</v>
      </c>
      <c r="C151" s="5"/>
      <c r="D151" s="5"/>
      <c r="E151" s="5"/>
      <c r="F151" s="5"/>
      <c r="G151" s="5"/>
      <c r="H151" s="5"/>
      <c r="I151" s="5"/>
      <c r="J151" s="5"/>
    </row>
    <row r="152" spans="2:10" x14ac:dyDescent="0.3">
      <c r="B152" s="9" t="s">
        <v>30</v>
      </c>
      <c r="C152" s="5"/>
      <c r="D152" s="5"/>
      <c r="E152" s="5"/>
      <c r="F152" s="5"/>
      <c r="G152" s="5"/>
      <c r="H152" s="5"/>
      <c r="I152" s="5"/>
      <c r="J152" s="5"/>
    </row>
    <row r="155" spans="2:10" ht="18" x14ac:dyDescent="0.35">
      <c r="B155" s="10"/>
      <c r="C155" s="10"/>
      <c r="D155" s="127" t="s">
        <v>34</v>
      </c>
      <c r="E155" s="127"/>
      <c r="F155" s="127"/>
      <c r="G155" s="127"/>
      <c r="H155" s="127"/>
      <c r="I155" s="127"/>
      <c r="J155" s="10"/>
    </row>
    <row r="156" spans="2:10" s="28" customFormat="1" ht="15.6" x14ac:dyDescent="0.3">
      <c r="B156" s="24"/>
      <c r="C156" s="24"/>
      <c r="D156" s="131" t="s">
        <v>39</v>
      </c>
      <c r="E156" s="131"/>
      <c r="F156" s="131"/>
      <c r="G156" s="131"/>
      <c r="H156" s="131"/>
      <c r="I156" s="131"/>
      <c r="J156" s="24"/>
    </row>
    <row r="157" spans="2:10" ht="15.9" customHeight="1" x14ac:dyDescent="0.3">
      <c r="B157" s="132" t="s">
        <v>88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28" t="s">
        <v>6</v>
      </c>
      <c r="E158" s="129"/>
      <c r="F158" s="129"/>
      <c r="G158" s="130"/>
      <c r="H158" s="120" t="s">
        <v>7</v>
      </c>
      <c r="I158" s="121"/>
      <c r="J158" s="4"/>
    </row>
    <row r="159" spans="2:10" x14ac:dyDescent="0.3">
      <c r="B159" s="12"/>
      <c r="C159" s="13"/>
      <c r="D159" s="124" t="s">
        <v>9</v>
      </c>
      <c r="E159" s="125"/>
      <c r="F159" s="125"/>
      <c r="G159" s="126"/>
      <c r="H159" s="122"/>
      <c r="I159" s="123"/>
      <c r="J159" s="4"/>
    </row>
    <row r="160" spans="2:10" ht="14.4" customHeight="1" x14ac:dyDescent="0.3">
      <c r="B160" s="111" t="s">
        <v>10</v>
      </c>
      <c r="C160" s="113" t="s">
        <v>11</v>
      </c>
      <c r="D160" s="16" t="s">
        <v>12</v>
      </c>
      <c r="E160" s="16" t="s">
        <v>13</v>
      </c>
      <c r="F160" s="16" t="s">
        <v>14</v>
      </c>
      <c r="G160" s="16" t="s">
        <v>15</v>
      </c>
      <c r="H160" s="115" t="s">
        <v>16</v>
      </c>
      <c r="I160" s="113" t="s">
        <v>17</v>
      </c>
      <c r="J160" s="17"/>
    </row>
    <row r="161" spans="2:10" ht="39" customHeight="1" x14ac:dyDescent="0.3">
      <c r="B161" s="112"/>
      <c r="C161" s="114"/>
      <c r="D161" s="117" t="s">
        <v>20</v>
      </c>
      <c r="E161" s="118"/>
      <c r="F161" s="118"/>
      <c r="G161" s="119"/>
      <c r="H161" s="116"/>
      <c r="I161" s="114"/>
      <c r="J161" s="17"/>
    </row>
    <row r="162" spans="2:10" x14ac:dyDescent="0.3">
      <c r="B162" s="33">
        <v>4</v>
      </c>
      <c r="C162" s="31" t="s">
        <v>21</v>
      </c>
      <c r="D162" s="18">
        <v>31342.01</v>
      </c>
      <c r="E162" s="18">
        <v>0</v>
      </c>
      <c r="F162" s="36">
        <f>+D162+E162</f>
        <v>31342.01</v>
      </c>
      <c r="G162" s="18">
        <f>+F162</f>
        <v>31342.01</v>
      </c>
      <c r="H162" s="37" t="e">
        <f t="shared" ref="H162:H180" si="35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63398.03</v>
      </c>
      <c r="E163" s="23">
        <v>0</v>
      </c>
      <c r="F163" s="40">
        <f>+E163+D163</f>
        <v>63398.03</v>
      </c>
      <c r="G163" s="23">
        <f>+G162+F163</f>
        <v>94740.04</v>
      </c>
      <c r="H163" s="41">
        <f t="shared" si="35"/>
        <v>-29.5186004902599</v>
      </c>
      <c r="I163" s="23">
        <v>134418.5</v>
      </c>
      <c r="J163" s="19"/>
    </row>
    <row r="164" spans="2:10" x14ac:dyDescent="0.3">
      <c r="B164" s="33">
        <v>6</v>
      </c>
      <c r="C164" s="31" t="s">
        <v>23</v>
      </c>
      <c r="D164" s="23">
        <v>100463.52</v>
      </c>
      <c r="E164" s="23">
        <v>0</v>
      </c>
      <c r="F164" s="40">
        <f>+E164+D164</f>
        <v>100463.52</v>
      </c>
      <c r="G164" s="23">
        <f t="shared" ref="G164" si="36">+G163+F164</f>
        <v>195203.56</v>
      </c>
      <c r="H164" s="41">
        <f t="shared" si="35"/>
        <v>6.1006950066673173</v>
      </c>
      <c r="I164" s="23">
        <f>+I163+49561.03</f>
        <v>183979.53</v>
      </c>
      <c r="J164" s="19"/>
    </row>
    <row r="165" spans="2:10" x14ac:dyDescent="0.3">
      <c r="B165" s="33">
        <v>7</v>
      </c>
      <c r="C165" s="31" t="s">
        <v>24</v>
      </c>
      <c r="D165" s="23">
        <v>126018.58</v>
      </c>
      <c r="E165" s="23">
        <v>0</v>
      </c>
      <c r="F165" s="40">
        <f t="shared" ref="F165:F177" si="37">+E165+D165</f>
        <v>126018.58</v>
      </c>
      <c r="G165" s="23">
        <f>+G164+F165</f>
        <v>321222.14</v>
      </c>
      <c r="H165" s="41">
        <f t="shared" si="35"/>
        <v>23.663724992063674</v>
      </c>
      <c r="I165" s="23">
        <f>+I164+75775.01</f>
        <v>259754.53999999998</v>
      </c>
      <c r="J165" s="19"/>
    </row>
    <row r="166" spans="2:10" x14ac:dyDescent="0.3">
      <c r="B166" s="33">
        <v>8</v>
      </c>
      <c r="C166" s="31" t="s">
        <v>25</v>
      </c>
      <c r="D166" s="23">
        <v>75478.509999999995</v>
      </c>
      <c r="E166" s="23">
        <v>0</v>
      </c>
      <c r="F166" s="40">
        <f t="shared" si="37"/>
        <v>75478.509999999995</v>
      </c>
      <c r="G166" s="23">
        <f t="shared" ref="G166:G177" si="38">+G165+F166</f>
        <v>396700.65</v>
      </c>
      <c r="H166" s="41">
        <f t="shared" si="35"/>
        <v>10.344795070691626</v>
      </c>
      <c r="I166" s="23">
        <v>359510.07</v>
      </c>
      <c r="J166" s="19"/>
    </row>
    <row r="167" spans="2:10" x14ac:dyDescent="0.3">
      <c r="B167" s="33">
        <v>9</v>
      </c>
      <c r="C167" s="31" t="s">
        <v>26</v>
      </c>
      <c r="D167" s="23">
        <v>122822.01</v>
      </c>
      <c r="E167" s="23">
        <v>0</v>
      </c>
      <c r="F167" s="40">
        <f t="shared" si="37"/>
        <v>122822.01</v>
      </c>
      <c r="G167" s="23">
        <f t="shared" si="38"/>
        <v>519522.66000000003</v>
      </c>
      <c r="H167" s="41">
        <f t="shared" si="35"/>
        <v>14.723010557346896</v>
      </c>
      <c r="I167" s="23">
        <f>+I166+93339.5</f>
        <v>452849.57</v>
      </c>
      <c r="J167" s="19"/>
    </row>
    <row r="168" spans="2:10" x14ac:dyDescent="0.3">
      <c r="B168" s="33">
        <v>10</v>
      </c>
      <c r="C168" s="31" t="s">
        <v>55</v>
      </c>
      <c r="D168" s="23">
        <v>28329</v>
      </c>
      <c r="E168" s="23">
        <v>0</v>
      </c>
      <c r="F168" s="40">
        <f t="shared" si="37"/>
        <v>28329</v>
      </c>
      <c r="G168" s="23">
        <f t="shared" si="38"/>
        <v>547851.66</v>
      </c>
      <c r="H168" s="41">
        <f t="shared" si="35"/>
        <v>-2.3625413193576117</v>
      </c>
      <c r="I168" s="23">
        <f>+I167+108258.5</f>
        <v>561108.07000000007</v>
      </c>
      <c r="J168" s="19"/>
    </row>
    <row r="169" spans="2:10" x14ac:dyDescent="0.3">
      <c r="B169" s="33">
        <v>11</v>
      </c>
      <c r="C169" s="31" t="s">
        <v>56</v>
      </c>
      <c r="D169" s="23">
        <v>97574.52</v>
      </c>
      <c r="E169" s="23">
        <v>0</v>
      </c>
      <c r="F169" s="40">
        <f t="shared" si="37"/>
        <v>97574.52</v>
      </c>
      <c r="G169" s="23">
        <f t="shared" si="38"/>
        <v>645426.18000000005</v>
      </c>
      <c r="H169" s="41">
        <f t="shared" si="35"/>
        <v>13.328481394804554</v>
      </c>
      <c r="I169" s="23">
        <f>+I168+8410</f>
        <v>569518.07000000007</v>
      </c>
      <c r="J169" s="19"/>
    </row>
    <row r="170" spans="2:10" x14ac:dyDescent="0.3">
      <c r="B170" s="33">
        <v>12</v>
      </c>
      <c r="C170" s="31" t="s">
        <v>71</v>
      </c>
      <c r="D170" s="23">
        <v>3777.51</v>
      </c>
      <c r="E170" s="23">
        <v>0</v>
      </c>
      <c r="F170" s="40">
        <f t="shared" si="37"/>
        <v>3777.51</v>
      </c>
      <c r="G170" s="23">
        <f t="shared" si="38"/>
        <v>649203.69000000006</v>
      </c>
      <c r="H170" s="41">
        <f t="shared" si="35"/>
        <v>12.570397063462169</v>
      </c>
      <c r="I170" s="23">
        <f>+I169+7191</f>
        <v>576709.07000000007</v>
      </c>
      <c r="J170" s="19"/>
    </row>
    <row r="171" spans="2:10" x14ac:dyDescent="0.3">
      <c r="B171" s="33">
        <v>13</v>
      </c>
      <c r="C171" s="31" t="s">
        <v>57</v>
      </c>
      <c r="D171" s="23">
        <v>0</v>
      </c>
      <c r="E171" s="23">
        <v>0</v>
      </c>
      <c r="F171" s="40">
        <f t="shared" si="37"/>
        <v>0</v>
      </c>
      <c r="G171" s="23">
        <f t="shared" si="38"/>
        <v>649203.69000000006</v>
      </c>
      <c r="H171" s="41">
        <f t="shared" si="35"/>
        <v>12.570397063462192</v>
      </c>
      <c r="I171" s="23">
        <v>576709.06999999995</v>
      </c>
      <c r="J171" s="19"/>
    </row>
    <row r="172" spans="2:10" x14ac:dyDescent="0.3">
      <c r="B172" s="33">
        <v>14</v>
      </c>
      <c r="C172" s="49" t="s">
        <v>58</v>
      </c>
      <c r="D172" s="23">
        <v>6085</v>
      </c>
      <c r="E172" s="23">
        <v>0</v>
      </c>
      <c r="F172" s="40">
        <f t="shared" si="37"/>
        <v>6085</v>
      </c>
      <c r="G172" s="23">
        <f t="shared" si="38"/>
        <v>655288.69000000006</v>
      </c>
      <c r="H172" s="41">
        <f t="shared" si="35"/>
        <v>13.625521790389064</v>
      </c>
      <c r="I172" s="23">
        <f>+I171+0</f>
        <v>576709.06999999995</v>
      </c>
      <c r="J172" s="19"/>
    </row>
    <row r="173" spans="2:10" x14ac:dyDescent="0.3">
      <c r="B173" s="33">
        <v>15</v>
      </c>
      <c r="C173" s="31" t="s">
        <v>59</v>
      </c>
      <c r="D173" s="23">
        <v>0</v>
      </c>
      <c r="E173" s="23">
        <v>0</v>
      </c>
      <c r="F173" s="40">
        <f t="shared" si="37"/>
        <v>0</v>
      </c>
      <c r="G173" s="23">
        <f t="shared" si="38"/>
        <v>655288.69000000006</v>
      </c>
      <c r="H173" s="41">
        <f t="shared" si="35"/>
        <v>13.625521790389064</v>
      </c>
      <c r="I173" s="23">
        <f>+I172+0</f>
        <v>576709.06999999995</v>
      </c>
      <c r="J173" s="19"/>
    </row>
    <row r="174" spans="2:10" x14ac:dyDescent="0.3">
      <c r="B174" s="33">
        <v>16</v>
      </c>
      <c r="C174" s="31" t="s">
        <v>60</v>
      </c>
      <c r="D174" s="23">
        <v>0</v>
      </c>
      <c r="E174" s="23">
        <v>0</v>
      </c>
      <c r="F174" s="40">
        <f t="shared" si="37"/>
        <v>0</v>
      </c>
      <c r="G174" s="23">
        <f t="shared" si="38"/>
        <v>655288.69000000006</v>
      </c>
      <c r="H174" s="41">
        <f t="shared" si="35"/>
        <v>13.625521790389064</v>
      </c>
      <c r="I174" s="23">
        <v>576709.06999999995</v>
      </c>
      <c r="J174" s="19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37"/>
        <v>0</v>
      </c>
      <c r="G175" s="23">
        <f t="shared" si="38"/>
        <v>655288.69000000006</v>
      </c>
      <c r="H175" s="41">
        <f t="shared" si="35"/>
        <v>13.625521790389064</v>
      </c>
      <c r="I175" s="23">
        <v>576709.06999999995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37"/>
        <v>0</v>
      </c>
      <c r="G176" s="23">
        <f t="shared" si="38"/>
        <v>655288.69000000006</v>
      </c>
      <c r="H176" s="41">
        <f t="shared" si="35"/>
        <v>13.625521790389064</v>
      </c>
      <c r="I176" s="23">
        <f t="shared" ref="I176:I183" si="39">+I175+0</f>
        <v>576709.06999999995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37"/>
        <v>0</v>
      </c>
      <c r="G177" s="23">
        <f t="shared" si="38"/>
        <v>655288.69000000006</v>
      </c>
      <c r="H177" s="41">
        <f t="shared" si="35"/>
        <v>13.625521790389064</v>
      </c>
      <c r="I177" s="23">
        <f t="shared" si="39"/>
        <v>576709.06999999995</v>
      </c>
      <c r="J177" s="19"/>
    </row>
    <row r="178" spans="2:10" x14ac:dyDescent="0.3">
      <c r="B178" s="33">
        <v>20</v>
      </c>
      <c r="C178" s="31" t="s">
        <v>64</v>
      </c>
      <c r="D178" s="23">
        <v>0</v>
      </c>
      <c r="E178" s="23">
        <v>0</v>
      </c>
      <c r="F178" s="40">
        <f t="shared" ref="F178:F186" si="40">+E178+D178</f>
        <v>0</v>
      </c>
      <c r="G178" s="23">
        <f t="shared" ref="G178:G186" si="41">+G177+F178</f>
        <v>655288.69000000006</v>
      </c>
      <c r="H178" s="41">
        <f t="shared" si="35"/>
        <v>13.625521790389064</v>
      </c>
      <c r="I178" s="23">
        <f t="shared" si="39"/>
        <v>576709.06999999995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40"/>
        <v>0</v>
      </c>
      <c r="G179" s="23">
        <f t="shared" si="41"/>
        <v>655288.69000000006</v>
      </c>
      <c r="H179" s="41">
        <f t="shared" si="35"/>
        <v>13.625521790389064</v>
      </c>
      <c r="I179" s="23">
        <f t="shared" si="39"/>
        <v>576709.06999999995</v>
      </c>
      <c r="J179" s="19"/>
    </row>
    <row r="180" spans="2:10" x14ac:dyDescent="0.3">
      <c r="B180" s="106">
        <v>22</v>
      </c>
      <c r="C180" s="31" t="s">
        <v>66</v>
      </c>
      <c r="D180" s="23">
        <v>0</v>
      </c>
      <c r="E180" s="23">
        <v>0</v>
      </c>
      <c r="F180" s="40">
        <f t="shared" si="40"/>
        <v>0</v>
      </c>
      <c r="G180" s="23">
        <f t="shared" si="41"/>
        <v>655288.69000000006</v>
      </c>
      <c r="H180" s="41">
        <f t="shared" si="35"/>
        <v>13.625521790389064</v>
      </c>
      <c r="I180" s="23">
        <f t="shared" si="39"/>
        <v>576709.06999999995</v>
      </c>
      <c r="J180" s="19"/>
    </row>
    <row r="181" spans="2:10" x14ac:dyDescent="0.3">
      <c r="B181" s="106">
        <v>23</v>
      </c>
      <c r="C181" s="31" t="s">
        <v>76</v>
      </c>
      <c r="D181" s="23">
        <v>0</v>
      </c>
      <c r="E181" s="23">
        <v>0</v>
      </c>
      <c r="F181" s="40">
        <f t="shared" si="40"/>
        <v>0</v>
      </c>
      <c r="G181" s="23">
        <f t="shared" si="41"/>
        <v>655288.69000000006</v>
      </c>
      <c r="H181" s="41">
        <f t="shared" ref="H181:H186" si="42">((G181-I181)/I181)*100</f>
        <v>13.625521790389064</v>
      </c>
      <c r="I181" s="23">
        <f t="shared" si="39"/>
        <v>576709.06999999995</v>
      </c>
      <c r="J181" s="19"/>
    </row>
    <row r="182" spans="2:10" x14ac:dyDescent="0.3">
      <c r="B182" s="106">
        <v>24</v>
      </c>
      <c r="C182" s="31" t="s">
        <v>68</v>
      </c>
      <c r="D182" s="23">
        <v>0</v>
      </c>
      <c r="E182" s="23">
        <v>0</v>
      </c>
      <c r="F182" s="40">
        <f t="shared" ref="F182" si="43">+E182+D182</f>
        <v>0</v>
      </c>
      <c r="G182" s="23">
        <f t="shared" si="41"/>
        <v>655288.69000000006</v>
      </c>
      <c r="H182" s="41">
        <f t="shared" ref="H182" si="44">((G182-I182)/I182)*100</f>
        <v>13.625521790389064</v>
      </c>
      <c r="I182" s="23">
        <f t="shared" si="39"/>
        <v>576709.06999999995</v>
      </c>
      <c r="J182" s="19"/>
    </row>
    <row r="183" spans="2:10" x14ac:dyDescent="0.3">
      <c r="B183" s="106">
        <v>25</v>
      </c>
      <c r="C183" s="67" t="s">
        <v>69</v>
      </c>
      <c r="D183" s="23">
        <v>0</v>
      </c>
      <c r="E183" s="23">
        <v>0</v>
      </c>
      <c r="F183" s="40">
        <f t="shared" si="40"/>
        <v>0</v>
      </c>
      <c r="G183" s="23">
        <f t="shared" si="41"/>
        <v>655288.69000000006</v>
      </c>
      <c r="H183" s="41">
        <f t="shared" si="42"/>
        <v>13.625521790389064</v>
      </c>
      <c r="I183" s="23">
        <f t="shared" si="39"/>
        <v>576709.06999999995</v>
      </c>
      <c r="J183" s="19"/>
    </row>
    <row r="184" spans="2:10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40"/>
        <v>0</v>
      </c>
      <c r="G184" s="95">
        <f t="shared" si="41"/>
        <v>655288.69000000006</v>
      </c>
      <c r="H184" s="41">
        <f t="shared" si="42"/>
        <v>13.625521790389064</v>
      </c>
      <c r="I184" s="23">
        <f>+I183+0</f>
        <v>576709.06999999995</v>
      </c>
      <c r="J184" s="19"/>
    </row>
    <row r="185" spans="2:10" x14ac:dyDescent="0.3">
      <c r="B185" s="97">
        <v>27</v>
      </c>
      <c r="C185" s="67" t="s">
        <v>79</v>
      </c>
      <c r="D185" s="102">
        <v>0</v>
      </c>
      <c r="E185" s="103">
        <v>0</v>
      </c>
      <c r="F185" s="104">
        <f t="shared" si="40"/>
        <v>0</v>
      </c>
      <c r="G185" s="103">
        <f t="shared" si="41"/>
        <v>655288.69000000006</v>
      </c>
      <c r="H185" s="41">
        <f t="shared" si="42"/>
        <v>13.625521790389064</v>
      </c>
      <c r="I185" s="23">
        <f>+I184+0</f>
        <v>576709.06999999995</v>
      </c>
      <c r="J185" s="19"/>
    </row>
    <row r="186" spans="2:10" x14ac:dyDescent="0.3">
      <c r="B186" s="97">
        <v>28</v>
      </c>
      <c r="C186" s="67" t="s">
        <v>80</v>
      </c>
      <c r="D186" s="102">
        <v>0</v>
      </c>
      <c r="E186" s="103">
        <v>0</v>
      </c>
      <c r="F186" s="104">
        <f t="shared" si="40"/>
        <v>0</v>
      </c>
      <c r="G186" s="103">
        <f t="shared" si="41"/>
        <v>655288.69000000006</v>
      </c>
      <c r="H186" s="41">
        <f t="shared" si="42"/>
        <v>13.625521790389064</v>
      </c>
      <c r="I186" s="23">
        <f>+I185+0</f>
        <v>576709.06999999995</v>
      </c>
      <c r="J186" s="19"/>
    </row>
    <row r="187" spans="2:10" x14ac:dyDescent="0.3">
      <c r="B187" s="97">
        <v>29</v>
      </c>
      <c r="C187" s="67" t="s">
        <v>81</v>
      </c>
      <c r="D187" s="94">
        <v>0</v>
      </c>
      <c r="E187" s="95">
        <v>0</v>
      </c>
      <c r="F187" s="104">
        <f t="shared" ref="F187:F191" si="45">+E187+D187</f>
        <v>0</v>
      </c>
      <c r="G187" s="103">
        <f t="shared" ref="G187:G190" si="46">+G186+F187</f>
        <v>655288.69000000006</v>
      </c>
      <c r="H187" s="41">
        <f t="shared" ref="H187:H193" si="47">((G187-I187)/I187)*100</f>
        <v>13.625521790389064</v>
      </c>
      <c r="I187" s="23">
        <f t="shared" ref="I187:I193" si="48">+I186+0</f>
        <v>576709.06999999995</v>
      </c>
      <c r="J187" s="10"/>
    </row>
    <row r="188" spans="2:10" x14ac:dyDescent="0.3">
      <c r="B188" s="97">
        <v>30</v>
      </c>
      <c r="C188" s="67" t="s">
        <v>82</v>
      </c>
      <c r="D188" s="102">
        <v>0</v>
      </c>
      <c r="E188" s="103">
        <v>0</v>
      </c>
      <c r="F188" s="104">
        <f t="shared" si="45"/>
        <v>0</v>
      </c>
      <c r="G188" s="103">
        <f t="shared" si="46"/>
        <v>655288.69000000006</v>
      </c>
      <c r="H188" s="41">
        <f t="shared" si="47"/>
        <v>13.625521790389064</v>
      </c>
      <c r="I188" s="23">
        <f t="shared" si="48"/>
        <v>576709.06999999995</v>
      </c>
      <c r="J188" s="10"/>
    </row>
    <row r="189" spans="2:10" x14ac:dyDescent="0.3">
      <c r="B189" s="97">
        <v>31</v>
      </c>
      <c r="C189" s="67" t="s">
        <v>83</v>
      </c>
      <c r="D189" s="102">
        <v>0</v>
      </c>
      <c r="E189" s="103">
        <v>0</v>
      </c>
      <c r="F189" s="104">
        <f t="shared" si="45"/>
        <v>0</v>
      </c>
      <c r="G189" s="103">
        <f t="shared" si="46"/>
        <v>655288.69000000006</v>
      </c>
      <c r="H189" s="41">
        <f t="shared" si="47"/>
        <v>13.625521790389064</v>
      </c>
      <c r="I189" s="23">
        <f t="shared" si="48"/>
        <v>576709.06999999995</v>
      </c>
      <c r="J189" s="10"/>
    </row>
    <row r="190" spans="2:10" x14ac:dyDescent="0.3">
      <c r="B190" s="97">
        <v>32</v>
      </c>
      <c r="C190" s="67" t="s">
        <v>84</v>
      </c>
      <c r="D190" s="102">
        <v>0</v>
      </c>
      <c r="E190" s="103">
        <v>0</v>
      </c>
      <c r="F190" s="104">
        <f t="shared" si="45"/>
        <v>0</v>
      </c>
      <c r="G190" s="103">
        <f t="shared" si="46"/>
        <v>655288.69000000006</v>
      </c>
      <c r="H190" s="41">
        <f t="shared" si="47"/>
        <v>13.625521790389064</v>
      </c>
      <c r="I190" s="23">
        <f t="shared" si="48"/>
        <v>576709.06999999995</v>
      </c>
      <c r="J190" s="10"/>
    </row>
    <row r="191" spans="2:10" x14ac:dyDescent="0.3">
      <c r="B191" s="97">
        <v>33</v>
      </c>
      <c r="C191" s="67" t="s">
        <v>85</v>
      </c>
      <c r="D191" s="94">
        <v>0</v>
      </c>
      <c r="E191" s="95">
        <v>0</v>
      </c>
      <c r="F191" s="96">
        <f t="shared" si="45"/>
        <v>0</v>
      </c>
      <c r="G191" s="95">
        <f>+G190+F191</f>
        <v>655288.69000000006</v>
      </c>
      <c r="H191" s="41">
        <f t="shared" si="47"/>
        <v>13.625521790389064</v>
      </c>
      <c r="I191" s="23">
        <f t="shared" si="48"/>
        <v>576709.06999999995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655288.69000000006</v>
      </c>
      <c r="H192" s="41">
        <f t="shared" si="47"/>
        <v>13.625521790389064</v>
      </c>
      <c r="I192" s="23">
        <f t="shared" si="48"/>
        <v>576709.06999999995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655288.69000000006</v>
      </c>
      <c r="H193" s="41">
        <f t="shared" si="47"/>
        <v>13.625521790389064</v>
      </c>
      <c r="I193" s="23">
        <f t="shared" si="48"/>
        <v>576709.06999999995</v>
      </c>
      <c r="J193" s="10"/>
    </row>
    <row r="194" spans="2:10" hidden="1" x14ac:dyDescent="0.3">
      <c r="B194" s="97">
        <v>36</v>
      </c>
      <c r="C194" s="67"/>
      <c r="D194" s="102"/>
      <c r="E194" s="103"/>
      <c r="F194" s="104"/>
      <c r="G194" s="104"/>
      <c r="H194" s="41"/>
      <c r="I194" s="23"/>
      <c r="J194" s="10"/>
    </row>
    <row r="195" spans="2:10" hidden="1" x14ac:dyDescent="0.3">
      <c r="B195" s="97">
        <v>37</v>
      </c>
      <c r="C195" s="67"/>
      <c r="D195" s="102"/>
      <c r="E195" s="103"/>
      <c r="F195" s="104"/>
      <c r="G195" s="104"/>
      <c r="H195" s="41"/>
      <c r="I195" s="23"/>
      <c r="J195" s="10"/>
    </row>
    <row r="196" spans="2:10" hidden="1" x14ac:dyDescent="0.3">
      <c r="B196" s="97">
        <v>38</v>
      </c>
      <c r="C196" s="67"/>
      <c r="D196" s="102"/>
      <c r="E196" s="103"/>
      <c r="F196" s="104"/>
      <c r="G196" s="104"/>
      <c r="H196" s="41"/>
      <c r="I196" s="23"/>
      <c r="J196" s="10"/>
    </row>
    <row r="197" spans="2:10" hidden="1" x14ac:dyDescent="0.3">
      <c r="B197" s="97">
        <v>39</v>
      </c>
      <c r="C197" s="67"/>
      <c r="D197" s="102"/>
      <c r="E197" s="103"/>
      <c r="F197" s="104"/>
      <c r="G197" s="104"/>
      <c r="H197" s="41"/>
      <c r="I197" s="23"/>
      <c r="J197" s="10"/>
    </row>
    <row r="198" spans="2:10" hidden="1" x14ac:dyDescent="0.3">
      <c r="B198" s="97">
        <v>40</v>
      </c>
      <c r="C198" s="67"/>
      <c r="D198" s="102"/>
      <c r="E198" s="103"/>
      <c r="F198" s="104"/>
      <c r="G198" s="104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7"/>
      <c r="I199" s="6"/>
      <c r="J199" s="5"/>
    </row>
    <row r="200" spans="2:10" x14ac:dyDescent="0.3">
      <c r="B200" s="8" t="s">
        <v>27</v>
      </c>
      <c r="C200" s="5"/>
      <c r="D200" s="5"/>
      <c r="E200" s="5"/>
      <c r="F200" s="5"/>
      <c r="G200" s="5"/>
      <c r="H200" s="5"/>
      <c r="I200" s="5"/>
      <c r="J200" s="5"/>
    </row>
    <row r="201" spans="2:10" x14ac:dyDescent="0.3">
      <c r="B201" s="9" t="s">
        <v>28</v>
      </c>
      <c r="C201" s="5"/>
      <c r="D201" s="5"/>
      <c r="E201" s="5"/>
      <c r="F201" s="5"/>
      <c r="G201" s="5"/>
      <c r="H201" s="5"/>
      <c r="I201" s="5"/>
      <c r="J201" s="5"/>
    </row>
    <row r="202" spans="2:10" x14ac:dyDescent="0.3">
      <c r="B202" s="9" t="s">
        <v>29</v>
      </c>
      <c r="C202" s="5"/>
      <c r="D202" s="5"/>
      <c r="E202" s="5"/>
      <c r="F202" s="5"/>
      <c r="G202" s="5"/>
      <c r="H202" s="5"/>
      <c r="I202" s="5"/>
      <c r="J202" s="5"/>
    </row>
    <row r="203" spans="2:10" x14ac:dyDescent="0.3">
      <c r="B203" s="9" t="s">
        <v>30</v>
      </c>
      <c r="C203" s="5"/>
      <c r="D203" s="5"/>
      <c r="E203" s="5"/>
      <c r="F203" s="5"/>
      <c r="G203" s="5"/>
      <c r="H203" s="5"/>
      <c r="I203" s="5"/>
      <c r="J203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O203"/>
  <sheetViews>
    <sheetView topLeftCell="B10" zoomScale="76" zoomScaleNormal="76" workbookViewId="0">
      <selection activeCell="B157" sqref="B157:J157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0" width="9" style="3"/>
    <col min="11" max="15" width="10.875" style="3" bestFit="1" customWidth="1"/>
    <col min="16" max="16384" width="9" style="3"/>
  </cols>
  <sheetData>
    <row r="3" spans="2:12" s="25" customFormat="1" ht="18" x14ac:dyDescent="0.35">
      <c r="B3" s="26"/>
      <c r="C3" s="26"/>
      <c r="D3" s="137" t="s">
        <v>40</v>
      </c>
      <c r="E3" s="137"/>
      <c r="F3" s="137"/>
      <c r="G3" s="137"/>
      <c r="H3" s="137"/>
      <c r="I3" s="137"/>
      <c r="J3" s="26"/>
      <c r="K3" s="27"/>
      <c r="L3" s="2"/>
    </row>
    <row r="4" spans="2:12" ht="15.9" customHeight="1" x14ac:dyDescent="0.3">
      <c r="B4" s="132" t="s">
        <v>89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28" t="s">
        <v>6</v>
      </c>
      <c r="E5" s="129"/>
      <c r="F5" s="129"/>
      <c r="G5" s="130"/>
      <c r="H5" s="120" t="s">
        <v>7</v>
      </c>
      <c r="I5" s="121"/>
      <c r="J5" s="4"/>
      <c r="K5" s="1"/>
      <c r="L5" s="2"/>
    </row>
    <row r="6" spans="2:12" x14ac:dyDescent="0.3">
      <c r="B6" s="12"/>
      <c r="C6" s="13"/>
      <c r="D6" s="124" t="s">
        <v>9</v>
      </c>
      <c r="E6" s="125"/>
      <c r="F6" s="125"/>
      <c r="G6" s="126"/>
      <c r="H6" s="122"/>
      <c r="I6" s="123"/>
      <c r="J6" s="4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15" t="s">
        <v>16</v>
      </c>
      <c r="I7" s="113" t="s">
        <v>17</v>
      </c>
      <c r="J7" s="17"/>
      <c r="K7" s="1"/>
      <c r="L7" s="2"/>
    </row>
    <row r="8" spans="2:12" ht="33" customHeight="1" x14ac:dyDescent="0.3">
      <c r="B8" s="112"/>
      <c r="C8" s="114"/>
      <c r="D8" s="117" t="s">
        <v>20</v>
      </c>
      <c r="E8" s="118"/>
      <c r="F8" s="118"/>
      <c r="G8" s="119"/>
      <c r="H8" s="116"/>
      <c r="I8" s="114"/>
      <c r="J8" s="17"/>
      <c r="K8" s="1"/>
    </row>
    <row r="9" spans="2:12" x14ac:dyDescent="0.3">
      <c r="B9" s="33">
        <v>4</v>
      </c>
      <c r="C9" s="31" t="s">
        <v>21</v>
      </c>
      <c r="D9" s="18">
        <v>0</v>
      </c>
      <c r="E9" s="18">
        <v>0</v>
      </c>
      <c r="F9" s="36">
        <f>+D9+E9</f>
        <v>0</v>
      </c>
      <c r="G9" s="18">
        <f>+F9</f>
        <v>0</v>
      </c>
      <c r="H9" s="41" t="e">
        <f t="shared" ref="H9:H16" si="0">((G9-I9)/I9)*100</f>
        <v>#DIV/0!</v>
      </c>
      <c r="I9" s="18">
        <v>0</v>
      </c>
      <c r="J9" s="19"/>
      <c r="K9" s="1"/>
    </row>
    <row r="10" spans="2:12" x14ac:dyDescent="0.3">
      <c r="B10" s="33">
        <v>5</v>
      </c>
      <c r="C10" s="31" t="s">
        <v>22</v>
      </c>
      <c r="D10" s="23">
        <v>245586</v>
      </c>
      <c r="E10" s="23">
        <v>0</v>
      </c>
      <c r="F10" s="40">
        <f>+E10+D10</f>
        <v>245586</v>
      </c>
      <c r="G10" s="23">
        <f>+G9+F10</f>
        <v>245586</v>
      </c>
      <c r="H10" s="41">
        <f t="shared" si="0"/>
        <v>381.03184863086142</v>
      </c>
      <c r="I10" s="23">
        <v>51054</v>
      </c>
      <c r="J10" s="19"/>
      <c r="K10" s="1"/>
    </row>
    <row r="11" spans="2:12" x14ac:dyDescent="0.3">
      <c r="B11" s="33">
        <v>6</v>
      </c>
      <c r="C11" s="31" t="s">
        <v>23</v>
      </c>
      <c r="D11" s="23">
        <v>312835.90000000002</v>
      </c>
      <c r="E11" s="23">
        <v>0</v>
      </c>
      <c r="F11" s="40">
        <f>+E11+D11</f>
        <v>312835.90000000002</v>
      </c>
      <c r="G11" s="23">
        <f t="shared" ref="G11:G19" si="1">+G10+F11</f>
        <v>558421.9</v>
      </c>
      <c r="H11" s="41">
        <f t="shared" si="0"/>
        <v>31.059264205255548</v>
      </c>
      <c r="I11" s="23">
        <f>+I10+375029.5</f>
        <v>426083.5</v>
      </c>
      <c r="J11" s="19"/>
      <c r="K11" s="1"/>
    </row>
    <row r="12" spans="2:12" x14ac:dyDescent="0.3">
      <c r="B12" s="33">
        <v>7</v>
      </c>
      <c r="C12" s="31" t="s">
        <v>24</v>
      </c>
      <c r="D12" s="23">
        <v>309034</v>
      </c>
      <c r="E12" s="23">
        <v>217067</v>
      </c>
      <c r="F12" s="40">
        <f t="shared" ref="F12:F24" si="2">+E12+D12</f>
        <v>526101</v>
      </c>
      <c r="G12" s="23">
        <f>+G11+F12</f>
        <v>1084522.8999999999</v>
      </c>
      <c r="H12" s="41">
        <f t="shared" si="0"/>
        <v>40.323195859615062</v>
      </c>
      <c r="I12" s="23">
        <f>+I11+346791.5</f>
        <v>772875</v>
      </c>
      <c r="J12" s="19"/>
      <c r="K12" s="1"/>
    </row>
    <row r="13" spans="2:12" x14ac:dyDescent="0.3">
      <c r="B13" s="33">
        <v>8</v>
      </c>
      <c r="C13" s="31" t="s">
        <v>25</v>
      </c>
      <c r="D13" s="23">
        <v>480779</v>
      </c>
      <c r="E13" s="23">
        <v>0</v>
      </c>
      <c r="F13" s="40">
        <f t="shared" si="2"/>
        <v>480779</v>
      </c>
      <c r="G13" s="23">
        <f t="shared" si="1"/>
        <v>1565301.9</v>
      </c>
      <c r="H13" s="41">
        <f t="shared" si="0"/>
        <v>16.74030701626814</v>
      </c>
      <c r="I13" s="23">
        <v>1340841</v>
      </c>
      <c r="J13" s="19"/>
      <c r="K13" s="1"/>
    </row>
    <row r="14" spans="2:12" x14ac:dyDescent="0.3">
      <c r="B14" s="33">
        <v>9</v>
      </c>
      <c r="C14" s="31" t="s">
        <v>26</v>
      </c>
      <c r="D14" s="23">
        <v>230527</v>
      </c>
      <c r="E14" s="23">
        <v>0</v>
      </c>
      <c r="F14" s="40">
        <f t="shared" si="2"/>
        <v>230527</v>
      </c>
      <c r="G14" s="23">
        <f t="shared" si="1"/>
        <v>1795828.9</v>
      </c>
      <c r="H14" s="41">
        <f t="shared" si="0"/>
        <v>12.294681564846659</v>
      </c>
      <c r="I14" s="23">
        <f>+I13+258370</f>
        <v>1599211</v>
      </c>
      <c r="J14" s="19"/>
      <c r="K14" s="1"/>
    </row>
    <row r="15" spans="2:12" x14ac:dyDescent="0.3">
      <c r="B15" s="33">
        <v>10</v>
      </c>
      <c r="C15" s="31" t="s">
        <v>55</v>
      </c>
      <c r="D15" s="23">
        <v>441354</v>
      </c>
      <c r="E15" s="23">
        <v>0</v>
      </c>
      <c r="F15" s="40">
        <f t="shared" si="2"/>
        <v>441354</v>
      </c>
      <c r="G15" s="23">
        <f t="shared" si="1"/>
        <v>2237182.9</v>
      </c>
      <c r="H15" s="41">
        <f t="shared" si="0"/>
        <v>2.8619870051378471</v>
      </c>
      <c r="I15" s="23">
        <f>+I14+575725.5</f>
        <v>2174936.5</v>
      </c>
      <c r="J15" s="19"/>
      <c r="K15" s="1"/>
    </row>
    <row r="16" spans="2:12" x14ac:dyDescent="0.3">
      <c r="B16" s="33">
        <v>11</v>
      </c>
      <c r="C16" s="31" t="s">
        <v>56</v>
      </c>
      <c r="D16" s="23">
        <v>400342.5</v>
      </c>
      <c r="E16" s="23">
        <v>0</v>
      </c>
      <c r="F16" s="40">
        <f t="shared" si="2"/>
        <v>400342.5</v>
      </c>
      <c r="G16" s="23">
        <f t="shared" si="1"/>
        <v>2637525.4</v>
      </c>
      <c r="H16" s="41">
        <f t="shared" si="0"/>
        <v>-5.7733194051861902</v>
      </c>
      <c r="I16" s="23">
        <f>+I15+624191.5</f>
        <v>2799128</v>
      </c>
      <c r="J16" s="19"/>
      <c r="K16" s="1"/>
    </row>
    <row r="17" spans="2:15" x14ac:dyDescent="0.3">
      <c r="B17" s="33">
        <v>12</v>
      </c>
      <c r="C17" s="31" t="s">
        <v>71</v>
      </c>
      <c r="D17" s="23">
        <v>272234</v>
      </c>
      <c r="E17" s="23">
        <v>0</v>
      </c>
      <c r="F17" s="40">
        <f t="shared" si="2"/>
        <v>272234</v>
      </c>
      <c r="G17" s="23">
        <f t="shared" si="1"/>
        <v>2909759.4</v>
      </c>
      <c r="H17" s="41">
        <f>((G17-I17)/I17)*100</f>
        <v>-10.438173606409713</v>
      </c>
      <c r="I17" s="23">
        <f>+I16+449755.5</f>
        <v>3248883.5</v>
      </c>
      <c r="J17" s="19"/>
      <c r="K17" s="1"/>
    </row>
    <row r="18" spans="2:15" x14ac:dyDescent="0.3">
      <c r="B18" s="33">
        <v>13</v>
      </c>
      <c r="C18" s="31" t="s">
        <v>57</v>
      </c>
      <c r="D18" s="23">
        <v>143143</v>
      </c>
      <c r="E18" s="23">
        <v>0</v>
      </c>
      <c r="F18" s="40">
        <f t="shared" si="2"/>
        <v>143143</v>
      </c>
      <c r="G18" s="23">
        <f t="shared" si="1"/>
        <v>3052902.3999999999</v>
      </c>
      <c r="H18" s="41">
        <f>((G18-I18)/I18)*100</f>
        <v>-13.49024601802963</v>
      </c>
      <c r="I18" s="23">
        <v>3528969</v>
      </c>
      <c r="J18" s="19"/>
      <c r="K18" s="1"/>
    </row>
    <row r="19" spans="2:15" x14ac:dyDescent="0.3">
      <c r="B19" s="33">
        <v>14</v>
      </c>
      <c r="C19" s="49" t="s">
        <v>58</v>
      </c>
      <c r="D19" s="23">
        <v>79621</v>
      </c>
      <c r="E19" s="23">
        <v>0</v>
      </c>
      <c r="F19" s="40">
        <f t="shared" si="2"/>
        <v>79621</v>
      </c>
      <c r="G19" s="23">
        <f t="shared" si="1"/>
        <v>3132523.4</v>
      </c>
      <c r="H19" s="41">
        <f>((G19-I19)/I19)*100</f>
        <v>-14.387309465358552</v>
      </c>
      <c r="I19" s="23">
        <f>+I18+129978.5</f>
        <v>3658947.5</v>
      </c>
      <c r="J19" s="19"/>
      <c r="K19" s="1"/>
    </row>
    <row r="20" spans="2:15" x14ac:dyDescent="0.3">
      <c r="B20" s="33">
        <v>15</v>
      </c>
      <c r="C20" s="31" t="s">
        <v>59</v>
      </c>
      <c r="D20" s="23">
        <v>47870</v>
      </c>
      <c r="E20" s="23">
        <v>0</v>
      </c>
      <c r="F20" s="40">
        <f t="shared" si="2"/>
        <v>47870</v>
      </c>
      <c r="G20" s="23">
        <f>+G19+F20</f>
        <v>3180393.4</v>
      </c>
      <c r="H20" s="41">
        <f>((G20-I20)/I20)*100</f>
        <v>-15.337623339222144</v>
      </c>
      <c r="I20" s="23">
        <f>+I19+97613</f>
        <v>3756560.5</v>
      </c>
      <c r="J20" s="19"/>
      <c r="K20" s="1"/>
    </row>
    <row r="21" spans="2:15" x14ac:dyDescent="0.3">
      <c r="B21" s="33">
        <v>16</v>
      </c>
      <c r="C21" s="31" t="s">
        <v>60</v>
      </c>
      <c r="D21" s="23">
        <v>81430.5</v>
      </c>
      <c r="E21" s="23">
        <v>0</v>
      </c>
      <c r="F21" s="40">
        <f t="shared" si="2"/>
        <v>81430.5</v>
      </c>
      <c r="G21" s="23">
        <f t="shared" ref="G21:G24" si="3">+G20+F21</f>
        <v>3261823.9</v>
      </c>
      <c r="H21" s="41">
        <f t="shared" ref="H21:H27" si="4">((G21-I21)/I21)*100</f>
        <v>-14.37392395589678</v>
      </c>
      <c r="I21" s="23">
        <v>3809381.5</v>
      </c>
      <c r="J21" s="19"/>
      <c r="K21" s="1"/>
    </row>
    <row r="22" spans="2:15" x14ac:dyDescent="0.3">
      <c r="B22" s="33">
        <v>17</v>
      </c>
      <c r="C22" s="31" t="s">
        <v>61</v>
      </c>
      <c r="D22" s="23">
        <v>0</v>
      </c>
      <c r="E22" s="23">
        <v>0</v>
      </c>
      <c r="F22" s="40">
        <f t="shared" si="2"/>
        <v>0</v>
      </c>
      <c r="G22" s="23">
        <f t="shared" si="3"/>
        <v>3261823.9</v>
      </c>
      <c r="H22" s="41">
        <f t="shared" si="4"/>
        <v>-16.043810406290621</v>
      </c>
      <c r="I22" s="23">
        <v>3885150</v>
      </c>
      <c r="J22" s="19"/>
      <c r="K22" s="1"/>
    </row>
    <row r="23" spans="2:15" x14ac:dyDescent="0.3">
      <c r="B23" s="33">
        <v>18</v>
      </c>
      <c r="C23" s="31" t="s">
        <v>62</v>
      </c>
      <c r="D23" s="23">
        <v>0</v>
      </c>
      <c r="E23" s="23">
        <v>0</v>
      </c>
      <c r="F23" s="40">
        <f t="shared" si="2"/>
        <v>0</v>
      </c>
      <c r="G23" s="23">
        <f t="shared" si="3"/>
        <v>3261823.9</v>
      </c>
      <c r="H23" s="41">
        <f t="shared" si="4"/>
        <v>-17.517441881047766</v>
      </c>
      <c r="I23" s="23">
        <f>+I22+69412</f>
        <v>3954562</v>
      </c>
      <c r="J23" s="19"/>
      <c r="K23" s="1"/>
      <c r="N23" s="32"/>
      <c r="O23" s="32"/>
    </row>
    <row r="24" spans="2:15" x14ac:dyDescent="0.3">
      <c r="B24" s="33">
        <v>19</v>
      </c>
      <c r="C24" s="31" t="s">
        <v>63</v>
      </c>
      <c r="D24" s="23">
        <v>0</v>
      </c>
      <c r="E24" s="23">
        <v>0</v>
      </c>
      <c r="F24" s="40">
        <f t="shared" si="2"/>
        <v>0</v>
      </c>
      <c r="G24" s="23">
        <f t="shared" si="3"/>
        <v>3261823.9</v>
      </c>
      <c r="H24" s="41">
        <f t="shared" si="4"/>
        <v>-17.579217420176143</v>
      </c>
      <c r="I24" s="23">
        <f>+I23+2964</f>
        <v>3957526</v>
      </c>
      <c r="J24" s="19"/>
      <c r="K24" s="1"/>
    </row>
    <row r="25" spans="2:15" x14ac:dyDescent="0.3">
      <c r="B25" s="33">
        <v>20</v>
      </c>
      <c r="C25" s="31" t="s">
        <v>72</v>
      </c>
      <c r="D25" s="23">
        <v>0</v>
      </c>
      <c r="E25" s="23">
        <v>0</v>
      </c>
      <c r="F25" s="40">
        <f t="shared" ref="F25:F33" si="5">+E25+D25</f>
        <v>0</v>
      </c>
      <c r="G25" s="23">
        <f t="shared" ref="G25:G33" si="6">+G24+F25</f>
        <v>3261823.9</v>
      </c>
      <c r="H25" s="41">
        <f t="shared" si="4"/>
        <v>-17.583694840061543</v>
      </c>
      <c r="I25" s="23">
        <f>+I24+215</f>
        <v>3957741</v>
      </c>
      <c r="J25" s="19"/>
      <c r="K25" s="1"/>
    </row>
    <row r="26" spans="2:15" x14ac:dyDescent="0.3">
      <c r="B26" s="33">
        <v>21</v>
      </c>
      <c r="C26" s="31" t="s">
        <v>65</v>
      </c>
      <c r="D26" s="23">
        <v>0</v>
      </c>
      <c r="E26" s="23">
        <v>0</v>
      </c>
      <c r="F26" s="40">
        <f t="shared" si="5"/>
        <v>0</v>
      </c>
      <c r="G26" s="23">
        <f t="shared" si="6"/>
        <v>3261823.9</v>
      </c>
      <c r="H26" s="41">
        <f t="shared" si="4"/>
        <v>-17.707370583312667</v>
      </c>
      <c r="I26" s="23">
        <f>+I25+5948</f>
        <v>3963689</v>
      </c>
      <c r="J26" s="19"/>
      <c r="K26" s="34"/>
      <c r="M26" s="32"/>
    </row>
    <row r="27" spans="2:15" x14ac:dyDescent="0.3">
      <c r="B27" s="33">
        <v>22</v>
      </c>
      <c r="C27" s="31" t="s">
        <v>66</v>
      </c>
      <c r="D27" s="23">
        <v>1484.5</v>
      </c>
      <c r="E27" s="23">
        <v>0</v>
      </c>
      <c r="F27" s="40">
        <f t="shared" si="5"/>
        <v>1484.5</v>
      </c>
      <c r="G27" s="23">
        <f t="shared" si="6"/>
        <v>3263308.4</v>
      </c>
      <c r="H27" s="41">
        <f t="shared" si="4"/>
        <v>-17.876909801104997</v>
      </c>
      <c r="I27" s="23">
        <f>+I26+9990.5</f>
        <v>3973679.5</v>
      </c>
      <c r="J27" s="19"/>
      <c r="K27" s="1"/>
      <c r="M27" s="32"/>
    </row>
    <row r="28" spans="2:15" x14ac:dyDescent="0.3">
      <c r="B28" s="33">
        <v>23</v>
      </c>
      <c r="C28" s="31" t="s">
        <v>76</v>
      </c>
      <c r="D28" s="23">
        <v>0</v>
      </c>
      <c r="E28" s="23">
        <v>0</v>
      </c>
      <c r="F28" s="40">
        <f t="shared" si="5"/>
        <v>0</v>
      </c>
      <c r="G28" s="23">
        <f t="shared" si="6"/>
        <v>3263308.4</v>
      </c>
      <c r="H28" s="41">
        <f t="shared" ref="H28:H30" si="7">((G28-I28)/I28)*100</f>
        <v>-17.876909801104997</v>
      </c>
      <c r="I28" s="23">
        <f>+I27+0</f>
        <v>3973679.5</v>
      </c>
      <c r="J28" s="19"/>
      <c r="K28" s="1"/>
    </row>
    <row r="29" spans="2:15" x14ac:dyDescent="0.3">
      <c r="B29" s="33">
        <v>24</v>
      </c>
      <c r="C29" s="31" t="s">
        <v>68</v>
      </c>
      <c r="D29" s="23">
        <v>0</v>
      </c>
      <c r="E29" s="23">
        <v>0</v>
      </c>
      <c r="F29" s="40">
        <f t="shared" si="5"/>
        <v>0</v>
      </c>
      <c r="G29" s="23">
        <f t="shared" si="6"/>
        <v>3263308.4</v>
      </c>
      <c r="H29" s="41">
        <f t="shared" si="7"/>
        <v>-23.307411165590576</v>
      </c>
      <c r="I29" s="23">
        <f>+I28+281371.02</f>
        <v>4255050.5199999996</v>
      </c>
      <c r="J29" s="19"/>
      <c r="K29" s="1"/>
    </row>
    <row r="30" spans="2:15" x14ac:dyDescent="0.3">
      <c r="B30" s="33">
        <v>25</v>
      </c>
      <c r="C30" s="67" t="s">
        <v>69</v>
      </c>
      <c r="D30" s="23">
        <v>0</v>
      </c>
      <c r="E30" s="23">
        <v>0</v>
      </c>
      <c r="F30" s="40">
        <f t="shared" si="5"/>
        <v>0</v>
      </c>
      <c r="G30" s="23">
        <f t="shared" si="6"/>
        <v>3263308.4</v>
      </c>
      <c r="H30" s="41">
        <f t="shared" si="7"/>
        <v>-23.307411165590576</v>
      </c>
      <c r="I30" s="23">
        <f>+I29+0</f>
        <v>4255050.5199999996</v>
      </c>
      <c r="J30" s="19"/>
      <c r="K30" s="1"/>
    </row>
    <row r="31" spans="2:15" x14ac:dyDescent="0.3">
      <c r="B31" s="97">
        <v>26</v>
      </c>
      <c r="C31" s="93" t="s">
        <v>70</v>
      </c>
      <c r="D31" s="94">
        <v>0</v>
      </c>
      <c r="E31" s="95">
        <v>0</v>
      </c>
      <c r="F31" s="96">
        <f t="shared" si="5"/>
        <v>0</v>
      </c>
      <c r="G31" s="95">
        <f t="shared" si="6"/>
        <v>3263308.4</v>
      </c>
      <c r="H31" s="41">
        <f t="shared" ref="H31:H33" si="8">((G31-I31)/I31)*100</f>
        <v>-23.307411165590576</v>
      </c>
      <c r="I31" s="23">
        <f>+I30+0</f>
        <v>4255050.5199999996</v>
      </c>
      <c r="J31" s="19"/>
      <c r="K31" s="1"/>
    </row>
    <row r="32" spans="2:15" x14ac:dyDescent="0.3">
      <c r="B32" s="33">
        <v>27</v>
      </c>
      <c r="C32" s="67" t="s">
        <v>79</v>
      </c>
      <c r="D32" s="102">
        <v>0</v>
      </c>
      <c r="E32" s="103">
        <v>0</v>
      </c>
      <c r="F32" s="104">
        <f t="shared" si="5"/>
        <v>0</v>
      </c>
      <c r="G32" s="103">
        <f t="shared" si="6"/>
        <v>3263308.4</v>
      </c>
      <c r="H32" s="41">
        <f t="shared" si="8"/>
        <v>-23.307411165590576</v>
      </c>
      <c r="I32" s="23">
        <f>+I31+0</f>
        <v>4255050.5199999996</v>
      </c>
      <c r="J32" s="19"/>
      <c r="K32" s="1"/>
    </row>
    <row r="33" spans="2:12" x14ac:dyDescent="0.3">
      <c r="B33" s="97">
        <v>28</v>
      </c>
      <c r="C33" s="93" t="s">
        <v>80</v>
      </c>
      <c r="D33" s="94">
        <v>0</v>
      </c>
      <c r="E33" s="95">
        <v>281501</v>
      </c>
      <c r="F33" s="96">
        <f t="shared" si="5"/>
        <v>281501</v>
      </c>
      <c r="G33" s="95">
        <f t="shared" si="6"/>
        <v>3544809.4</v>
      </c>
      <c r="H33" s="41">
        <f t="shared" si="8"/>
        <v>-16.691720031563804</v>
      </c>
      <c r="I33" s="23">
        <f>+I32+0</f>
        <v>4255050.5199999996</v>
      </c>
      <c r="J33" s="19"/>
      <c r="K33" s="1"/>
      <c r="L33" s="32"/>
    </row>
    <row r="34" spans="2:12" x14ac:dyDescent="0.3">
      <c r="B34" s="33">
        <v>29</v>
      </c>
      <c r="C34" s="67" t="s">
        <v>81</v>
      </c>
      <c r="D34" s="94">
        <v>0</v>
      </c>
      <c r="E34" s="95">
        <v>0</v>
      </c>
      <c r="F34" s="96">
        <f t="shared" ref="F34:F38" si="9">+E34+D34</f>
        <v>0</v>
      </c>
      <c r="G34" s="95">
        <f t="shared" ref="G34:G37" si="10">+G33+F34</f>
        <v>3544809.4</v>
      </c>
      <c r="H34" s="41">
        <f t="shared" ref="H34:H36" si="11">((G34-I34)/I34)*100</f>
        <v>-16.691720031563804</v>
      </c>
      <c r="I34" s="23">
        <f t="shared" ref="I34:I40" si="12">+I33+0</f>
        <v>4255050.5199999996</v>
      </c>
      <c r="J34" s="10"/>
      <c r="K34" s="1"/>
      <c r="L34" s="32"/>
    </row>
    <row r="35" spans="2:12" x14ac:dyDescent="0.3">
      <c r="B35" s="97">
        <v>30</v>
      </c>
      <c r="C35" s="67" t="s">
        <v>82</v>
      </c>
      <c r="D35" s="94">
        <v>0</v>
      </c>
      <c r="E35" s="95">
        <v>0</v>
      </c>
      <c r="F35" s="96">
        <f t="shared" si="9"/>
        <v>0</v>
      </c>
      <c r="G35" s="95">
        <f t="shared" si="10"/>
        <v>3544809.4</v>
      </c>
      <c r="H35" s="41">
        <f t="shared" si="11"/>
        <v>-16.691720031563804</v>
      </c>
      <c r="I35" s="23">
        <f t="shared" si="12"/>
        <v>4255050.5199999996</v>
      </c>
      <c r="J35" s="10"/>
      <c r="K35" s="1"/>
      <c r="L35" s="32"/>
    </row>
    <row r="36" spans="2:12" x14ac:dyDescent="0.3">
      <c r="B36" s="33">
        <v>31</v>
      </c>
      <c r="C36" s="67" t="s">
        <v>83</v>
      </c>
      <c r="D36" s="94">
        <v>0</v>
      </c>
      <c r="E36" s="95">
        <v>0</v>
      </c>
      <c r="F36" s="96">
        <f t="shared" si="9"/>
        <v>0</v>
      </c>
      <c r="G36" s="95">
        <f t="shared" si="10"/>
        <v>3544809.4</v>
      </c>
      <c r="H36" s="41">
        <f t="shared" si="11"/>
        <v>-16.691720031563804</v>
      </c>
      <c r="I36" s="23">
        <f t="shared" si="12"/>
        <v>4255050.5199999996</v>
      </c>
      <c r="J36" s="10"/>
      <c r="K36" s="1"/>
      <c r="L36" s="32"/>
    </row>
    <row r="37" spans="2:12" x14ac:dyDescent="0.3">
      <c r="B37" s="97">
        <v>32</v>
      </c>
      <c r="C37" s="67" t="s">
        <v>84</v>
      </c>
      <c r="D37" s="94">
        <v>0</v>
      </c>
      <c r="E37" s="95">
        <v>0</v>
      </c>
      <c r="F37" s="96">
        <f t="shared" si="9"/>
        <v>0</v>
      </c>
      <c r="G37" s="95">
        <f t="shared" si="10"/>
        <v>3544809.4</v>
      </c>
      <c r="H37" s="41">
        <f>((G37-I37)/I37)*100</f>
        <v>-16.691720031563804</v>
      </c>
      <c r="I37" s="23">
        <f t="shared" si="12"/>
        <v>4255050.5199999996</v>
      </c>
      <c r="J37" s="10"/>
      <c r="K37" s="1"/>
      <c r="L37" s="32"/>
    </row>
    <row r="38" spans="2:12" x14ac:dyDescent="0.3">
      <c r="B38" s="97">
        <v>33</v>
      </c>
      <c r="C38" s="67" t="s">
        <v>85</v>
      </c>
      <c r="D38" s="94">
        <v>0</v>
      </c>
      <c r="E38" s="95">
        <v>0</v>
      </c>
      <c r="F38" s="96">
        <f t="shared" si="9"/>
        <v>0</v>
      </c>
      <c r="G38" s="95">
        <f>+G37+F38</f>
        <v>3544809.4</v>
      </c>
      <c r="H38" s="41">
        <f>((G38-I38)/I38)*100</f>
        <v>-16.691720031563804</v>
      </c>
      <c r="I38" s="23">
        <f t="shared" si="12"/>
        <v>4255050.5199999996</v>
      </c>
      <c r="J38" s="10"/>
      <c r="K38" s="1"/>
      <c r="L38" s="32"/>
    </row>
    <row r="39" spans="2:12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3544809.4</v>
      </c>
      <c r="H39" s="41">
        <f t="shared" ref="H39:H40" si="13">((G39-I39)/I39)*100</f>
        <v>-16.691720031563804</v>
      </c>
      <c r="I39" s="23">
        <f t="shared" si="12"/>
        <v>4255050.5199999996</v>
      </c>
      <c r="J39" s="10"/>
      <c r="K39" s="1"/>
      <c r="L39" s="32"/>
    </row>
    <row r="40" spans="2:12" x14ac:dyDescent="0.3">
      <c r="B40" s="33">
        <v>35</v>
      </c>
      <c r="C40" s="67" t="s">
        <v>86</v>
      </c>
      <c r="D40" s="23">
        <v>0</v>
      </c>
      <c r="E40" s="23">
        <v>0</v>
      </c>
      <c r="F40" s="40">
        <f>+E40+D40</f>
        <v>0</v>
      </c>
      <c r="G40" s="40">
        <f>+G39+F40</f>
        <v>3544809.4</v>
      </c>
      <c r="H40" s="41">
        <f t="shared" si="13"/>
        <v>-16.691720031563804</v>
      </c>
      <c r="I40" s="23">
        <f t="shared" si="12"/>
        <v>4255050.5199999996</v>
      </c>
      <c r="J40" s="10"/>
      <c r="K40" s="1"/>
      <c r="L40" s="32"/>
    </row>
    <row r="41" spans="2:12" hidden="1" x14ac:dyDescent="0.3">
      <c r="B41" s="97">
        <v>36</v>
      </c>
      <c r="C41" s="67"/>
      <c r="D41" s="94"/>
      <c r="E41" s="95"/>
      <c r="F41" s="96"/>
      <c r="G41" s="96"/>
      <c r="H41" s="41"/>
      <c r="I41" s="23"/>
      <c r="J41" s="10"/>
      <c r="K41" s="1"/>
      <c r="L41" s="32"/>
    </row>
    <row r="42" spans="2:12" hidden="1" x14ac:dyDescent="0.3">
      <c r="B42" s="97">
        <v>37</v>
      </c>
      <c r="C42" s="67"/>
      <c r="D42" s="94"/>
      <c r="E42" s="95"/>
      <c r="F42" s="96"/>
      <c r="G42" s="96"/>
      <c r="H42" s="41"/>
      <c r="I42" s="23"/>
      <c r="J42" s="10"/>
      <c r="K42" s="1"/>
      <c r="L42" s="32"/>
    </row>
    <row r="43" spans="2:12" hidden="1" x14ac:dyDescent="0.3">
      <c r="B43" s="97">
        <v>38</v>
      </c>
      <c r="C43" s="67"/>
      <c r="D43" s="94"/>
      <c r="E43" s="95"/>
      <c r="F43" s="96"/>
      <c r="G43" s="96"/>
      <c r="H43" s="41"/>
      <c r="I43" s="23"/>
      <c r="J43" s="10"/>
      <c r="K43" s="1"/>
      <c r="L43" s="32"/>
    </row>
    <row r="44" spans="2:12" hidden="1" x14ac:dyDescent="0.3">
      <c r="B44" s="97">
        <v>39</v>
      </c>
      <c r="C44" s="67"/>
      <c r="D44" s="94"/>
      <c r="E44" s="95"/>
      <c r="F44" s="96"/>
      <c r="G44" s="96"/>
      <c r="H44" s="41"/>
      <c r="I44" s="23"/>
      <c r="J44" s="10"/>
      <c r="K44" s="1"/>
      <c r="L44" s="32"/>
    </row>
    <row r="45" spans="2:12" hidden="1" x14ac:dyDescent="0.3">
      <c r="B45" s="97">
        <v>40</v>
      </c>
      <c r="C45" s="67"/>
      <c r="D45" s="94"/>
      <c r="E45" s="95"/>
      <c r="F45" s="96"/>
      <c r="G45" s="96"/>
      <c r="H45" s="41"/>
      <c r="I45" s="23"/>
      <c r="J45" s="10"/>
      <c r="K45" s="1"/>
      <c r="L45" s="32"/>
    </row>
    <row r="46" spans="2:12" x14ac:dyDescent="0.3">
      <c r="B46" s="5"/>
      <c r="C46" s="5"/>
      <c r="D46" s="6"/>
      <c r="E46" s="6"/>
      <c r="F46" s="6"/>
      <c r="G46" s="6"/>
      <c r="H46" s="7"/>
      <c r="I46" s="6"/>
      <c r="J46" s="5"/>
      <c r="K46" s="1"/>
    </row>
    <row r="47" spans="2:12" x14ac:dyDescent="0.3">
      <c r="B47" s="8" t="s">
        <v>27</v>
      </c>
      <c r="C47" s="5"/>
      <c r="D47" s="5"/>
      <c r="E47" s="5"/>
      <c r="F47" s="5"/>
      <c r="G47" s="5"/>
      <c r="H47" s="5"/>
      <c r="I47" s="5"/>
      <c r="J47" s="5"/>
      <c r="K47" s="1"/>
    </row>
    <row r="48" spans="2:12" x14ac:dyDescent="0.3">
      <c r="B48" s="9" t="s">
        <v>28</v>
      </c>
      <c r="C48" s="5"/>
      <c r="D48" s="5"/>
      <c r="E48" s="5"/>
      <c r="F48" s="5"/>
      <c r="G48" s="5"/>
      <c r="H48" s="5"/>
      <c r="I48" s="5"/>
      <c r="J48" s="5"/>
      <c r="K48" s="1"/>
    </row>
    <row r="49" spans="2:11" x14ac:dyDescent="0.3">
      <c r="B49" s="9" t="s">
        <v>29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">
      <c r="B50" s="9" t="s">
        <v>30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">
      <c r="B51" s="9"/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">
      <c r="B52" s="9"/>
      <c r="C52" s="5"/>
      <c r="D52" s="5"/>
      <c r="E52" s="5"/>
      <c r="F52" s="5"/>
      <c r="G52" s="5"/>
      <c r="H52" s="5"/>
      <c r="I52" s="5"/>
      <c r="J52" s="5"/>
      <c r="K52" s="1"/>
    </row>
    <row r="53" spans="2:11" ht="18" x14ac:dyDescent="0.35">
      <c r="B53" s="10"/>
      <c r="C53" s="10"/>
      <c r="D53" s="135" t="s">
        <v>31</v>
      </c>
      <c r="E53" s="135"/>
      <c r="F53" s="135"/>
      <c r="G53" s="135"/>
      <c r="H53" s="135"/>
      <c r="I53" s="135"/>
      <c r="J53" s="10"/>
    </row>
    <row r="54" spans="2:11" s="28" customFormat="1" ht="15.6" x14ac:dyDescent="0.3">
      <c r="B54" s="24"/>
      <c r="C54" s="24"/>
      <c r="D54" s="136" t="s">
        <v>40</v>
      </c>
      <c r="E54" s="136"/>
      <c r="F54" s="136"/>
      <c r="G54" s="136"/>
      <c r="H54" s="136"/>
      <c r="I54" s="136"/>
      <c r="J54" s="24"/>
    </row>
    <row r="55" spans="2:11" ht="15.9" customHeight="1" x14ac:dyDescent="0.3">
      <c r="B55" s="132" t="s">
        <v>89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28" t="s">
        <v>6</v>
      </c>
      <c r="E56" s="129"/>
      <c r="F56" s="129"/>
      <c r="G56" s="130"/>
      <c r="H56" s="120" t="s">
        <v>7</v>
      </c>
      <c r="I56" s="121"/>
      <c r="J56" s="4"/>
    </row>
    <row r="57" spans="2:11" x14ac:dyDescent="0.3">
      <c r="B57" s="12"/>
      <c r="C57" s="13"/>
      <c r="D57" s="124" t="s">
        <v>9</v>
      </c>
      <c r="E57" s="125"/>
      <c r="F57" s="125"/>
      <c r="G57" s="126"/>
      <c r="H57" s="122"/>
      <c r="I57" s="123"/>
      <c r="J57" s="4"/>
    </row>
    <row r="58" spans="2:11" ht="14.4" customHeight="1" x14ac:dyDescent="0.3">
      <c r="B58" s="111" t="s">
        <v>10</v>
      </c>
      <c r="C58" s="113" t="s">
        <v>11</v>
      </c>
      <c r="D58" s="16" t="s">
        <v>12</v>
      </c>
      <c r="E58" s="16" t="s">
        <v>13</v>
      </c>
      <c r="F58" s="16" t="s">
        <v>14</v>
      </c>
      <c r="G58" s="16" t="s">
        <v>15</v>
      </c>
      <c r="H58" s="115" t="s">
        <v>16</v>
      </c>
      <c r="I58" s="113" t="s">
        <v>17</v>
      </c>
      <c r="J58" s="17"/>
    </row>
    <row r="59" spans="2:11" ht="38.4" customHeight="1" x14ac:dyDescent="0.3">
      <c r="B59" s="112"/>
      <c r="C59" s="114"/>
      <c r="D59" s="117" t="s">
        <v>20</v>
      </c>
      <c r="E59" s="118"/>
      <c r="F59" s="118"/>
      <c r="G59" s="119"/>
      <c r="H59" s="116"/>
      <c r="I59" s="114"/>
      <c r="J59" s="17"/>
    </row>
    <row r="60" spans="2:11" x14ac:dyDescent="0.3">
      <c r="B60" s="33">
        <v>4</v>
      </c>
      <c r="C60" s="31" t="s">
        <v>21</v>
      </c>
      <c r="D60" s="18">
        <v>0</v>
      </c>
      <c r="E60" s="18">
        <v>0</v>
      </c>
      <c r="F60" s="36">
        <f>+D60+E60</f>
        <v>0</v>
      </c>
      <c r="G60" s="18">
        <f>+F60</f>
        <v>0</v>
      </c>
      <c r="H60" s="41" t="e">
        <f t="shared" ref="H60:H67" si="14">((G60-I60)/I60)*100</f>
        <v>#DIV/0!</v>
      </c>
      <c r="I60" s="18">
        <v>0</v>
      </c>
      <c r="J60" s="19"/>
    </row>
    <row r="61" spans="2:11" x14ac:dyDescent="0.3">
      <c r="B61" s="33">
        <v>5</v>
      </c>
      <c r="C61" s="31" t="s">
        <v>22</v>
      </c>
      <c r="D61" s="23">
        <v>0</v>
      </c>
      <c r="E61" s="23">
        <v>0</v>
      </c>
      <c r="F61" s="40">
        <f>+E61+D61</f>
        <v>0</v>
      </c>
      <c r="G61" s="23">
        <f>+G60+F61</f>
        <v>0</v>
      </c>
      <c r="H61" s="41" t="e">
        <f t="shared" si="14"/>
        <v>#DIV/0!</v>
      </c>
      <c r="I61" s="23">
        <v>0</v>
      </c>
      <c r="J61" s="19"/>
    </row>
    <row r="62" spans="2:11" x14ac:dyDescent="0.3">
      <c r="B62" s="33">
        <v>6</v>
      </c>
      <c r="C62" s="31" t="s">
        <v>23</v>
      </c>
      <c r="D62" s="23">
        <v>15249.4</v>
      </c>
      <c r="E62" s="23">
        <v>0</v>
      </c>
      <c r="F62" s="40">
        <f>+E62+D62</f>
        <v>15249.4</v>
      </c>
      <c r="G62" s="23">
        <f t="shared" ref="G62" si="15">+G61+F62</f>
        <v>15249.4</v>
      </c>
      <c r="H62" s="41" t="e">
        <f t="shared" si="14"/>
        <v>#DIV/0!</v>
      </c>
      <c r="I62" s="23">
        <v>0</v>
      </c>
      <c r="J62" s="19"/>
    </row>
    <row r="63" spans="2:11" x14ac:dyDescent="0.3">
      <c r="B63" s="33">
        <v>7</v>
      </c>
      <c r="C63" s="31" t="s">
        <v>24</v>
      </c>
      <c r="D63" s="23">
        <v>0</v>
      </c>
      <c r="E63" s="23">
        <v>0</v>
      </c>
      <c r="F63" s="40">
        <f t="shared" ref="F63:F75" si="16">+E63+D63</f>
        <v>0</v>
      </c>
      <c r="G63" s="23">
        <f>+G62+F63</f>
        <v>15249.4</v>
      </c>
      <c r="H63" s="41" t="e">
        <f t="shared" si="14"/>
        <v>#DIV/0!</v>
      </c>
      <c r="I63" s="23">
        <v>0</v>
      </c>
      <c r="J63" s="19"/>
    </row>
    <row r="64" spans="2:11" x14ac:dyDescent="0.3">
      <c r="B64" s="33">
        <v>8</v>
      </c>
      <c r="C64" s="31" t="s">
        <v>25</v>
      </c>
      <c r="D64" s="23">
        <v>0</v>
      </c>
      <c r="E64" s="23">
        <v>0</v>
      </c>
      <c r="F64" s="40">
        <f t="shared" si="16"/>
        <v>0</v>
      </c>
      <c r="G64" s="23">
        <f t="shared" ref="G64:G75" si="17">+G63+F64</f>
        <v>15249.4</v>
      </c>
      <c r="H64" s="41" t="e">
        <f t="shared" si="14"/>
        <v>#DIV/0!</v>
      </c>
      <c r="I64" s="23">
        <v>0</v>
      </c>
      <c r="J64" s="19"/>
    </row>
    <row r="65" spans="2:10" x14ac:dyDescent="0.3">
      <c r="B65" s="33">
        <v>9</v>
      </c>
      <c r="C65" s="31" t="s">
        <v>26</v>
      </c>
      <c r="D65" s="23">
        <v>17556.5</v>
      </c>
      <c r="E65" s="23">
        <v>0</v>
      </c>
      <c r="F65" s="40">
        <f t="shared" si="16"/>
        <v>17556.5</v>
      </c>
      <c r="G65" s="23">
        <f t="shared" si="17"/>
        <v>32805.9</v>
      </c>
      <c r="H65" s="41" t="e">
        <f t="shared" si="14"/>
        <v>#DIV/0!</v>
      </c>
      <c r="I65" s="23">
        <v>0</v>
      </c>
      <c r="J65" s="19"/>
    </row>
    <row r="66" spans="2:10" x14ac:dyDescent="0.3">
      <c r="B66" s="33">
        <v>10</v>
      </c>
      <c r="C66" s="31" t="s">
        <v>55</v>
      </c>
      <c r="D66" s="23">
        <v>0</v>
      </c>
      <c r="E66" s="23">
        <v>0</v>
      </c>
      <c r="F66" s="40">
        <f t="shared" si="16"/>
        <v>0</v>
      </c>
      <c r="G66" s="23">
        <f t="shared" si="17"/>
        <v>32805.9</v>
      </c>
      <c r="H66" s="41" t="e">
        <f t="shared" si="14"/>
        <v>#DIV/0!</v>
      </c>
      <c r="I66" s="23">
        <v>0</v>
      </c>
      <c r="J66" s="19"/>
    </row>
    <row r="67" spans="2:10" x14ac:dyDescent="0.3">
      <c r="B67" s="33">
        <v>11</v>
      </c>
      <c r="C67" s="31" t="s">
        <v>56</v>
      </c>
      <c r="D67" s="23">
        <v>0</v>
      </c>
      <c r="E67" s="23">
        <v>0</v>
      </c>
      <c r="F67" s="40">
        <f t="shared" si="16"/>
        <v>0</v>
      </c>
      <c r="G67" s="23">
        <f t="shared" si="17"/>
        <v>32805.9</v>
      </c>
      <c r="H67" s="41" t="e">
        <f t="shared" si="14"/>
        <v>#DIV/0!</v>
      </c>
      <c r="I67" s="23">
        <v>0</v>
      </c>
      <c r="J67" s="19"/>
    </row>
    <row r="68" spans="2:10" x14ac:dyDescent="0.3">
      <c r="B68" s="33">
        <v>12</v>
      </c>
      <c r="C68" s="31" t="s">
        <v>71</v>
      </c>
      <c r="D68" s="23">
        <v>0</v>
      </c>
      <c r="E68" s="23">
        <v>0</v>
      </c>
      <c r="F68" s="40">
        <f t="shared" si="16"/>
        <v>0</v>
      </c>
      <c r="G68" s="23">
        <f t="shared" si="17"/>
        <v>32805.9</v>
      </c>
      <c r="H68" s="41" t="e">
        <f>((G68-I68)/I68)*100</f>
        <v>#DIV/0!</v>
      </c>
      <c r="I68" s="23">
        <v>0</v>
      </c>
      <c r="J68" s="19"/>
    </row>
    <row r="69" spans="2:10" x14ac:dyDescent="0.3">
      <c r="B69" s="33">
        <v>13</v>
      </c>
      <c r="C69" s="31" t="s">
        <v>57</v>
      </c>
      <c r="D69" s="23">
        <v>0</v>
      </c>
      <c r="E69" s="23">
        <v>0</v>
      </c>
      <c r="F69" s="40">
        <f t="shared" si="16"/>
        <v>0</v>
      </c>
      <c r="G69" s="23">
        <f t="shared" si="17"/>
        <v>32805.9</v>
      </c>
      <c r="H69" s="41" t="e">
        <f>((G69-I69)/I69)*100</f>
        <v>#DIV/0!</v>
      </c>
      <c r="I69" s="23">
        <v>0</v>
      </c>
      <c r="J69" s="19"/>
    </row>
    <row r="70" spans="2:10" x14ac:dyDescent="0.3">
      <c r="B70" s="33">
        <v>14</v>
      </c>
      <c r="C70" s="49" t="s">
        <v>58</v>
      </c>
      <c r="D70" s="23">
        <v>0</v>
      </c>
      <c r="E70" s="23">
        <v>0</v>
      </c>
      <c r="F70" s="40">
        <f t="shared" si="16"/>
        <v>0</v>
      </c>
      <c r="G70" s="23">
        <f t="shared" si="17"/>
        <v>32805.9</v>
      </c>
      <c r="H70" s="41" t="e">
        <f>((G70-I70)/I70)*100</f>
        <v>#DIV/0!</v>
      </c>
      <c r="I70" s="23">
        <v>0</v>
      </c>
      <c r="J70" s="19"/>
    </row>
    <row r="71" spans="2:10" x14ac:dyDescent="0.3">
      <c r="B71" s="33">
        <v>15</v>
      </c>
      <c r="C71" s="31" t="s">
        <v>59</v>
      </c>
      <c r="D71" s="23">
        <v>0</v>
      </c>
      <c r="E71" s="23">
        <v>0</v>
      </c>
      <c r="F71" s="40">
        <f t="shared" si="16"/>
        <v>0</v>
      </c>
      <c r="G71" s="23">
        <f t="shared" si="17"/>
        <v>32805.9</v>
      </c>
      <c r="H71" s="41" t="e">
        <f>((G71-I71)/I71)*100</f>
        <v>#DIV/0!</v>
      </c>
      <c r="I71" s="23">
        <v>0</v>
      </c>
      <c r="J71" s="19"/>
    </row>
    <row r="72" spans="2:10" x14ac:dyDescent="0.3">
      <c r="B72" s="33">
        <v>16</v>
      </c>
      <c r="C72" s="31" t="s">
        <v>60</v>
      </c>
      <c r="D72" s="23">
        <v>0</v>
      </c>
      <c r="E72" s="23">
        <v>0</v>
      </c>
      <c r="F72" s="40">
        <f t="shared" si="16"/>
        <v>0</v>
      </c>
      <c r="G72" s="23">
        <f t="shared" si="17"/>
        <v>32805.9</v>
      </c>
      <c r="H72" s="41" t="e">
        <f t="shared" ref="H72:H75" si="18">((G72-I72)/I72)*100</f>
        <v>#DIV/0!</v>
      </c>
      <c r="I72" s="23">
        <v>0</v>
      </c>
      <c r="J72" s="19"/>
    </row>
    <row r="73" spans="2:10" x14ac:dyDescent="0.3">
      <c r="B73" s="33">
        <v>17</v>
      </c>
      <c r="C73" s="31" t="s">
        <v>61</v>
      </c>
      <c r="D73" s="23">
        <v>0</v>
      </c>
      <c r="E73" s="23">
        <v>0</v>
      </c>
      <c r="F73" s="40">
        <f t="shared" si="16"/>
        <v>0</v>
      </c>
      <c r="G73" s="23">
        <f t="shared" si="17"/>
        <v>32805.9</v>
      </c>
      <c r="H73" s="41" t="e">
        <f t="shared" si="18"/>
        <v>#DIV/0!</v>
      </c>
      <c r="I73" s="23">
        <v>0</v>
      </c>
      <c r="J73" s="19"/>
    </row>
    <row r="74" spans="2:10" x14ac:dyDescent="0.3">
      <c r="B74" s="33">
        <v>18</v>
      </c>
      <c r="C74" s="31" t="s">
        <v>62</v>
      </c>
      <c r="D74" s="23">
        <v>0</v>
      </c>
      <c r="E74" s="23">
        <v>0</v>
      </c>
      <c r="F74" s="40">
        <f t="shared" si="16"/>
        <v>0</v>
      </c>
      <c r="G74" s="23">
        <f t="shared" si="17"/>
        <v>32805.9</v>
      </c>
      <c r="H74" s="41" t="e">
        <f t="shared" si="18"/>
        <v>#DIV/0!</v>
      </c>
      <c r="I74" s="23">
        <v>0</v>
      </c>
      <c r="J74" s="19"/>
    </row>
    <row r="75" spans="2:10" x14ac:dyDescent="0.3">
      <c r="B75" s="33">
        <v>19</v>
      </c>
      <c r="C75" s="31" t="s">
        <v>63</v>
      </c>
      <c r="D75" s="23">
        <v>0</v>
      </c>
      <c r="E75" s="23">
        <v>0</v>
      </c>
      <c r="F75" s="40">
        <f t="shared" si="16"/>
        <v>0</v>
      </c>
      <c r="G75" s="23">
        <f t="shared" si="17"/>
        <v>32805.9</v>
      </c>
      <c r="H75" s="41" t="e">
        <f t="shared" si="18"/>
        <v>#DIV/0!</v>
      </c>
      <c r="I75" s="23">
        <v>0</v>
      </c>
      <c r="J75" s="19"/>
    </row>
    <row r="76" spans="2:10" x14ac:dyDescent="0.3">
      <c r="B76" s="33">
        <v>20</v>
      </c>
      <c r="C76" s="31" t="s">
        <v>72</v>
      </c>
      <c r="D76" s="23">
        <v>0</v>
      </c>
      <c r="E76" s="23">
        <v>0</v>
      </c>
      <c r="F76" s="40">
        <f t="shared" ref="F76:F84" si="19">+E76+D76</f>
        <v>0</v>
      </c>
      <c r="G76" s="23">
        <f t="shared" ref="G76:G84" si="20">+G75+F76</f>
        <v>32805.9</v>
      </c>
      <c r="H76" s="41" t="e">
        <f t="shared" ref="H76" si="21">((G76-I76)/I76)*100</f>
        <v>#DIV/0!</v>
      </c>
      <c r="I76" s="23">
        <v>0</v>
      </c>
      <c r="J76" s="19"/>
    </row>
    <row r="77" spans="2:10" x14ac:dyDescent="0.3">
      <c r="B77" s="33">
        <v>21</v>
      </c>
      <c r="C77" s="31" t="s">
        <v>65</v>
      </c>
      <c r="D77" s="23">
        <v>0</v>
      </c>
      <c r="E77" s="23">
        <v>0</v>
      </c>
      <c r="F77" s="40">
        <f t="shared" si="19"/>
        <v>0</v>
      </c>
      <c r="G77" s="23">
        <f t="shared" si="20"/>
        <v>32805.9</v>
      </c>
      <c r="H77" s="41" t="e">
        <f t="shared" ref="H77" si="22">((G77-I77)/I77)*100</f>
        <v>#DIV/0!</v>
      </c>
      <c r="I77" s="23">
        <v>0</v>
      </c>
      <c r="J77" s="19"/>
    </row>
    <row r="78" spans="2:10" x14ac:dyDescent="0.3">
      <c r="B78" s="33">
        <v>22</v>
      </c>
      <c r="C78" s="31" t="s">
        <v>66</v>
      </c>
      <c r="D78" s="23">
        <v>0</v>
      </c>
      <c r="E78" s="23">
        <v>0</v>
      </c>
      <c r="F78" s="40">
        <f t="shared" si="19"/>
        <v>0</v>
      </c>
      <c r="G78" s="23">
        <f t="shared" si="20"/>
        <v>32805.9</v>
      </c>
      <c r="H78" s="11" t="e">
        <f>+H77</f>
        <v>#DIV/0!</v>
      </c>
      <c r="I78" s="23">
        <f>+I686+0</f>
        <v>0</v>
      </c>
      <c r="J78" s="19"/>
    </row>
    <row r="79" spans="2:10" x14ac:dyDescent="0.3">
      <c r="B79" s="33">
        <v>23</v>
      </c>
      <c r="C79" s="31" t="s">
        <v>76</v>
      </c>
      <c r="D79" s="23">
        <v>0</v>
      </c>
      <c r="E79" s="23">
        <v>0</v>
      </c>
      <c r="F79" s="40">
        <f t="shared" si="19"/>
        <v>0</v>
      </c>
      <c r="G79" s="23">
        <f t="shared" si="20"/>
        <v>32805.9</v>
      </c>
      <c r="H79" s="41" t="e">
        <f t="shared" ref="H79:H84" si="23">((G79-I79)/I79)*100</f>
        <v>#DIV/0!</v>
      </c>
      <c r="I79" s="23">
        <v>0</v>
      </c>
      <c r="J79" s="19"/>
    </row>
    <row r="80" spans="2:10" x14ac:dyDescent="0.3">
      <c r="B80" s="33">
        <v>24</v>
      </c>
      <c r="C80" s="31" t="s">
        <v>68</v>
      </c>
      <c r="D80" s="23">
        <v>0</v>
      </c>
      <c r="E80" s="23">
        <v>0</v>
      </c>
      <c r="F80" s="40">
        <f t="shared" si="19"/>
        <v>0</v>
      </c>
      <c r="G80" s="23">
        <f t="shared" si="20"/>
        <v>32805.9</v>
      </c>
      <c r="H80" s="41" t="e">
        <f t="shared" si="23"/>
        <v>#DIV/0!</v>
      </c>
      <c r="I80" s="23">
        <v>0</v>
      </c>
      <c r="J80" s="19"/>
    </row>
    <row r="81" spans="2:10" x14ac:dyDescent="0.3">
      <c r="B81" s="33">
        <v>25</v>
      </c>
      <c r="C81" s="67" t="s">
        <v>69</v>
      </c>
      <c r="D81" s="23">
        <v>0</v>
      </c>
      <c r="E81" s="23">
        <v>0</v>
      </c>
      <c r="F81" s="40">
        <f t="shared" si="19"/>
        <v>0</v>
      </c>
      <c r="G81" s="23">
        <f t="shared" si="20"/>
        <v>32805.9</v>
      </c>
      <c r="H81" s="41" t="e">
        <f t="shared" si="23"/>
        <v>#DIV/0!</v>
      </c>
      <c r="I81" s="23">
        <f>+I80+0</f>
        <v>0</v>
      </c>
      <c r="J81" s="19"/>
    </row>
    <row r="82" spans="2:10" x14ac:dyDescent="0.3">
      <c r="B82" s="97">
        <v>26</v>
      </c>
      <c r="C82" s="93" t="s">
        <v>70</v>
      </c>
      <c r="D82" s="94">
        <v>0</v>
      </c>
      <c r="E82" s="95">
        <v>0</v>
      </c>
      <c r="F82" s="96">
        <f t="shared" si="19"/>
        <v>0</v>
      </c>
      <c r="G82" s="95">
        <f t="shared" si="20"/>
        <v>32805.9</v>
      </c>
      <c r="H82" s="41" t="e">
        <f t="shared" si="23"/>
        <v>#DIV/0!</v>
      </c>
      <c r="I82" s="23">
        <f>+I81+0</f>
        <v>0</v>
      </c>
      <c r="J82" s="19"/>
    </row>
    <row r="83" spans="2:10" x14ac:dyDescent="0.3">
      <c r="B83" s="97">
        <v>27</v>
      </c>
      <c r="C83" s="93" t="s">
        <v>79</v>
      </c>
      <c r="D83" s="94">
        <v>0</v>
      </c>
      <c r="E83" s="95">
        <v>0</v>
      </c>
      <c r="F83" s="96">
        <f t="shared" si="19"/>
        <v>0</v>
      </c>
      <c r="G83" s="95">
        <f t="shared" si="20"/>
        <v>32805.9</v>
      </c>
      <c r="H83" s="41" t="e">
        <f t="shared" si="23"/>
        <v>#DIV/0!</v>
      </c>
      <c r="I83" s="23">
        <f>+I82+0</f>
        <v>0</v>
      </c>
      <c r="J83" s="19"/>
    </row>
    <row r="84" spans="2:10" x14ac:dyDescent="0.3">
      <c r="B84" s="97">
        <v>28</v>
      </c>
      <c r="C84" s="93" t="s">
        <v>80</v>
      </c>
      <c r="D84" s="94">
        <v>0</v>
      </c>
      <c r="E84" s="95">
        <v>0</v>
      </c>
      <c r="F84" s="96">
        <f t="shared" si="19"/>
        <v>0</v>
      </c>
      <c r="G84" s="95">
        <f t="shared" si="20"/>
        <v>32805.9</v>
      </c>
      <c r="H84" s="41" t="e">
        <f t="shared" si="23"/>
        <v>#DIV/0!</v>
      </c>
      <c r="I84" s="23">
        <f>+I83+0</f>
        <v>0</v>
      </c>
      <c r="J84" s="19"/>
    </row>
    <row r="85" spans="2:10" x14ac:dyDescent="0.3">
      <c r="B85" s="97">
        <v>29</v>
      </c>
      <c r="C85" s="67" t="s">
        <v>81</v>
      </c>
      <c r="D85" s="94">
        <v>0</v>
      </c>
      <c r="E85" s="95">
        <v>0</v>
      </c>
      <c r="F85" s="96">
        <f t="shared" ref="F85:F89" si="24">+E85+D85</f>
        <v>0</v>
      </c>
      <c r="G85" s="95">
        <f t="shared" ref="G85:G88" si="25">+G84+F85</f>
        <v>32805.9</v>
      </c>
      <c r="H85" s="41" t="e">
        <f t="shared" ref="H85:H88" si="26">((G85-I85)/I85)*100</f>
        <v>#DIV/0!</v>
      </c>
      <c r="I85" s="23">
        <f t="shared" ref="I85:I91" si="27">+I84+0</f>
        <v>0</v>
      </c>
      <c r="J85" s="10"/>
    </row>
    <row r="86" spans="2:10" x14ac:dyDescent="0.3">
      <c r="B86" s="97">
        <v>30</v>
      </c>
      <c r="C86" s="67" t="s">
        <v>82</v>
      </c>
      <c r="D86" s="94">
        <v>0</v>
      </c>
      <c r="E86" s="95">
        <v>0</v>
      </c>
      <c r="F86" s="96">
        <f t="shared" si="24"/>
        <v>0</v>
      </c>
      <c r="G86" s="95">
        <f t="shared" si="25"/>
        <v>32805.9</v>
      </c>
      <c r="H86" s="41" t="e">
        <f t="shared" si="26"/>
        <v>#DIV/0!</v>
      </c>
      <c r="I86" s="23">
        <f t="shared" si="27"/>
        <v>0</v>
      </c>
      <c r="J86" s="10"/>
    </row>
    <row r="87" spans="2:10" x14ac:dyDescent="0.3">
      <c r="B87" s="97">
        <v>31</v>
      </c>
      <c r="C87" s="67" t="s">
        <v>83</v>
      </c>
      <c r="D87" s="94">
        <v>0</v>
      </c>
      <c r="E87" s="95">
        <v>0</v>
      </c>
      <c r="F87" s="96">
        <f t="shared" si="24"/>
        <v>0</v>
      </c>
      <c r="G87" s="95">
        <f t="shared" si="25"/>
        <v>32805.9</v>
      </c>
      <c r="H87" s="41" t="e">
        <f t="shared" si="26"/>
        <v>#DIV/0!</v>
      </c>
      <c r="I87" s="23">
        <f t="shared" si="27"/>
        <v>0</v>
      </c>
      <c r="J87" s="10"/>
    </row>
    <row r="88" spans="2:10" x14ac:dyDescent="0.3">
      <c r="B88" s="97">
        <v>32</v>
      </c>
      <c r="C88" s="67" t="s">
        <v>84</v>
      </c>
      <c r="D88" s="94">
        <v>0</v>
      </c>
      <c r="E88" s="95">
        <v>0</v>
      </c>
      <c r="F88" s="96">
        <f t="shared" si="24"/>
        <v>0</v>
      </c>
      <c r="G88" s="95">
        <f t="shared" si="25"/>
        <v>32805.9</v>
      </c>
      <c r="H88" s="41" t="e">
        <f t="shared" si="26"/>
        <v>#DIV/0!</v>
      </c>
      <c r="I88" s="23">
        <f t="shared" si="27"/>
        <v>0</v>
      </c>
      <c r="J88" s="10"/>
    </row>
    <row r="89" spans="2:10" x14ac:dyDescent="0.3">
      <c r="B89" s="97">
        <v>33</v>
      </c>
      <c r="C89" s="67" t="s">
        <v>85</v>
      </c>
      <c r="D89" s="94">
        <v>0</v>
      </c>
      <c r="E89" s="95">
        <v>0</v>
      </c>
      <c r="F89" s="96">
        <f t="shared" si="24"/>
        <v>0</v>
      </c>
      <c r="G89" s="95">
        <f>+G88+F89</f>
        <v>32805.9</v>
      </c>
      <c r="H89" s="41" t="e">
        <f>((G89-I89)/I89)*100</f>
        <v>#DIV/0!</v>
      </c>
      <c r="I89" s="23">
        <f t="shared" si="27"/>
        <v>0</v>
      </c>
      <c r="J89" s="10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32805.9</v>
      </c>
      <c r="H90" s="41" t="e">
        <f t="shared" ref="H90:H91" si="28">((G90-I90)/I90)*100</f>
        <v>#DIV/0!</v>
      </c>
      <c r="I90" s="23">
        <f t="shared" si="27"/>
        <v>0</v>
      </c>
      <c r="J90" s="10"/>
    </row>
    <row r="91" spans="2:10" x14ac:dyDescent="0.3">
      <c r="B91" s="33">
        <v>35</v>
      </c>
      <c r="C91" s="67" t="s">
        <v>86</v>
      </c>
      <c r="D91" s="23">
        <v>0</v>
      </c>
      <c r="E91" s="23">
        <v>0</v>
      </c>
      <c r="F91" s="40">
        <f>+E91+D91</f>
        <v>0</v>
      </c>
      <c r="G91" s="40">
        <f>+G90+F91</f>
        <v>32805.9</v>
      </c>
      <c r="H91" s="41" t="e">
        <f t="shared" si="28"/>
        <v>#DIV/0!</v>
      </c>
      <c r="I91" s="23">
        <f t="shared" si="27"/>
        <v>0</v>
      </c>
      <c r="J91" s="10"/>
    </row>
    <row r="92" spans="2:10" hidden="1" x14ac:dyDescent="0.3">
      <c r="B92" s="97">
        <v>36</v>
      </c>
      <c r="C92" s="67"/>
      <c r="D92" s="94"/>
      <c r="E92" s="95"/>
      <c r="F92" s="96"/>
      <c r="G92" s="96"/>
      <c r="H92" s="41"/>
      <c r="I92" s="23"/>
      <c r="J92" s="10"/>
    </row>
    <row r="93" spans="2:10" hidden="1" x14ac:dyDescent="0.3">
      <c r="B93" s="97">
        <v>37</v>
      </c>
      <c r="C93" s="67"/>
      <c r="D93" s="94"/>
      <c r="E93" s="95"/>
      <c r="F93" s="96"/>
      <c r="G93" s="96"/>
      <c r="H93" s="41"/>
      <c r="I93" s="23"/>
      <c r="J93" s="10"/>
    </row>
    <row r="94" spans="2:10" hidden="1" x14ac:dyDescent="0.3">
      <c r="B94" s="97">
        <v>38</v>
      </c>
      <c r="C94" s="67"/>
      <c r="D94" s="94"/>
      <c r="E94" s="95"/>
      <c r="F94" s="96"/>
      <c r="G94" s="96"/>
      <c r="H94" s="41"/>
      <c r="I94" s="23"/>
      <c r="J94" s="10"/>
    </row>
    <row r="95" spans="2:10" hidden="1" x14ac:dyDescent="0.3">
      <c r="B95" s="97">
        <v>39</v>
      </c>
      <c r="C95" s="67"/>
      <c r="D95" s="94"/>
      <c r="E95" s="95"/>
      <c r="F95" s="96"/>
      <c r="G95" s="96"/>
      <c r="H95" s="41"/>
      <c r="I95" s="23"/>
      <c r="J95" s="10"/>
    </row>
    <row r="96" spans="2:10" hidden="1" x14ac:dyDescent="0.3">
      <c r="B96" s="97">
        <v>40</v>
      </c>
      <c r="C96" s="67"/>
      <c r="D96" s="94"/>
      <c r="E96" s="95"/>
      <c r="F96" s="96"/>
      <c r="G96" s="96"/>
      <c r="H96" s="41"/>
      <c r="I96" s="23"/>
      <c r="J96" s="10"/>
    </row>
    <row r="97" spans="2:10" x14ac:dyDescent="0.3">
      <c r="B97" s="5"/>
      <c r="C97" s="5"/>
      <c r="D97" s="6"/>
      <c r="E97" s="6"/>
      <c r="F97" s="6"/>
      <c r="G97" s="6"/>
      <c r="H97" s="7"/>
      <c r="I97" s="6"/>
      <c r="J97" s="5"/>
    </row>
    <row r="98" spans="2:10" x14ac:dyDescent="0.3">
      <c r="B98" s="8" t="s">
        <v>27</v>
      </c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9" t="s">
        <v>28</v>
      </c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9" t="s">
        <v>29</v>
      </c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9" t="s">
        <v>30</v>
      </c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2:10" x14ac:dyDescent="0.3"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2:10" ht="18" x14ac:dyDescent="0.35">
      <c r="B104" s="10"/>
      <c r="C104" s="10"/>
      <c r="D104" s="133" t="s">
        <v>33</v>
      </c>
      <c r="E104" s="133"/>
      <c r="F104" s="133"/>
      <c r="G104" s="133"/>
      <c r="H104" s="133"/>
      <c r="I104" s="133"/>
      <c r="J104" s="10"/>
    </row>
    <row r="105" spans="2:10" s="28" customFormat="1" ht="15.6" x14ac:dyDescent="0.3">
      <c r="B105" s="24"/>
      <c r="C105" s="24"/>
      <c r="D105" s="134" t="s">
        <v>40</v>
      </c>
      <c r="E105" s="134"/>
      <c r="F105" s="134"/>
      <c r="G105" s="134"/>
      <c r="H105" s="134"/>
      <c r="I105" s="134"/>
      <c r="J105" s="24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28" t="s">
        <v>6</v>
      </c>
      <c r="E107" s="129"/>
      <c r="F107" s="129"/>
      <c r="G107" s="130"/>
      <c r="H107" s="120" t="s">
        <v>7</v>
      </c>
      <c r="I107" s="121"/>
      <c r="J107" s="4"/>
    </row>
    <row r="108" spans="2:10" x14ac:dyDescent="0.3">
      <c r="B108" s="12"/>
      <c r="C108" s="13"/>
      <c r="D108" s="124" t="s">
        <v>9</v>
      </c>
      <c r="E108" s="125"/>
      <c r="F108" s="125"/>
      <c r="G108" s="126"/>
      <c r="H108" s="122"/>
      <c r="I108" s="123"/>
      <c r="J108" s="4"/>
    </row>
    <row r="109" spans="2:10" ht="14.4" customHeight="1" x14ac:dyDescent="0.3">
      <c r="B109" s="111" t="s">
        <v>10</v>
      </c>
      <c r="C109" s="113" t="s">
        <v>11</v>
      </c>
      <c r="D109" s="16" t="s">
        <v>12</v>
      </c>
      <c r="E109" s="16" t="s">
        <v>13</v>
      </c>
      <c r="F109" s="16" t="s">
        <v>14</v>
      </c>
      <c r="G109" s="16" t="s">
        <v>15</v>
      </c>
      <c r="H109" s="115" t="s">
        <v>16</v>
      </c>
      <c r="I109" s="113" t="s">
        <v>17</v>
      </c>
      <c r="J109" s="17"/>
    </row>
    <row r="110" spans="2:10" ht="40.35" customHeight="1" x14ac:dyDescent="0.3">
      <c r="B110" s="112"/>
      <c r="C110" s="114"/>
      <c r="D110" s="117" t="s">
        <v>20</v>
      </c>
      <c r="E110" s="118"/>
      <c r="F110" s="118"/>
      <c r="G110" s="119"/>
      <c r="H110" s="116"/>
      <c r="I110" s="114"/>
      <c r="J110" s="1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37" t="s">
        <v>41</v>
      </c>
      <c r="I111" s="18">
        <v>0</v>
      </c>
      <c r="J111" s="19"/>
    </row>
    <row r="112" spans="2:10" x14ac:dyDescent="0.3">
      <c r="B112" s="33">
        <v>5</v>
      </c>
      <c r="C112" s="31" t="s">
        <v>22</v>
      </c>
      <c r="D112" s="23">
        <v>245586</v>
      </c>
      <c r="E112" s="23">
        <v>0</v>
      </c>
      <c r="F112" s="40">
        <f>+E112+D112</f>
        <v>245586</v>
      </c>
      <c r="G112" s="23">
        <f>+G111+F112</f>
        <v>245586</v>
      </c>
      <c r="H112" s="41">
        <f t="shared" ref="H112:H118" si="29">((G112-I112)/I112)*100</f>
        <v>381.03184863086142</v>
      </c>
      <c r="I112" s="23">
        <v>51054</v>
      </c>
      <c r="J112" s="19"/>
    </row>
    <row r="113" spans="2:10" x14ac:dyDescent="0.3">
      <c r="B113" s="33">
        <v>6</v>
      </c>
      <c r="C113" s="31" t="s">
        <v>23</v>
      </c>
      <c r="D113" s="23">
        <v>297586.5</v>
      </c>
      <c r="E113" s="23">
        <v>0</v>
      </c>
      <c r="F113" s="40">
        <f>+E113+D113</f>
        <v>297586.5</v>
      </c>
      <c r="G113" s="23">
        <f t="shared" ref="G113" si="30">+G112+F113</f>
        <v>543172.5</v>
      </c>
      <c r="H113" s="41">
        <f t="shared" si="29"/>
        <v>27.480294355449107</v>
      </c>
      <c r="I113" s="23">
        <f>+I112+375029.5</f>
        <v>426083.5</v>
      </c>
      <c r="J113" s="19"/>
    </row>
    <row r="114" spans="2:10" x14ac:dyDescent="0.3">
      <c r="B114" s="33">
        <v>7</v>
      </c>
      <c r="C114" s="31" t="s">
        <v>24</v>
      </c>
      <c r="D114" s="23">
        <v>309034</v>
      </c>
      <c r="E114" s="23">
        <v>217067</v>
      </c>
      <c r="F114" s="40">
        <f t="shared" ref="F114:F126" si="31">+E114+D114</f>
        <v>526101</v>
      </c>
      <c r="G114" s="23">
        <f>+G113+F114</f>
        <v>1069273.5</v>
      </c>
      <c r="H114" s="41">
        <f t="shared" si="29"/>
        <v>38.350121300339637</v>
      </c>
      <c r="I114" s="23">
        <f>+I113+346791.5</f>
        <v>772875</v>
      </c>
      <c r="J114" s="19"/>
    </row>
    <row r="115" spans="2:10" x14ac:dyDescent="0.3">
      <c r="B115" s="33">
        <v>8</v>
      </c>
      <c r="C115" s="31" t="s">
        <v>25</v>
      </c>
      <c r="D115" s="23">
        <v>480779</v>
      </c>
      <c r="E115" s="23">
        <v>0</v>
      </c>
      <c r="F115" s="40">
        <f t="shared" si="31"/>
        <v>480779</v>
      </c>
      <c r="G115" s="23">
        <f t="shared" ref="G115:G126" si="32">+G114+F115</f>
        <v>1550052.5</v>
      </c>
      <c r="H115" s="41">
        <f t="shared" si="29"/>
        <v>15.603005874671194</v>
      </c>
      <c r="I115" s="23">
        <v>1340841</v>
      </c>
      <c r="J115" s="19"/>
    </row>
    <row r="116" spans="2:10" x14ac:dyDescent="0.3">
      <c r="B116" s="33">
        <v>9</v>
      </c>
      <c r="C116" s="31" t="s">
        <v>26</v>
      </c>
      <c r="D116" s="23">
        <v>212970.5</v>
      </c>
      <c r="E116" s="23">
        <v>0</v>
      </c>
      <c r="F116" s="40">
        <f t="shared" si="31"/>
        <v>212970.5</v>
      </c>
      <c r="G116" s="23">
        <f t="shared" si="32"/>
        <v>1763023</v>
      </c>
      <c r="H116" s="41">
        <f t="shared" si="29"/>
        <v>10.243301227918018</v>
      </c>
      <c r="I116" s="23">
        <f>+I115+258370</f>
        <v>1599211</v>
      </c>
      <c r="J116" s="19"/>
    </row>
    <row r="117" spans="2:10" x14ac:dyDescent="0.3">
      <c r="B117" s="33">
        <v>10</v>
      </c>
      <c r="C117" s="31" t="s">
        <v>55</v>
      </c>
      <c r="D117" s="23">
        <v>441354</v>
      </c>
      <c r="E117" s="23">
        <v>0</v>
      </c>
      <c r="F117" s="40">
        <f t="shared" si="31"/>
        <v>441354</v>
      </c>
      <c r="G117" s="23">
        <f t="shared" si="32"/>
        <v>2204377</v>
      </c>
      <c r="H117" s="41">
        <f t="shared" si="29"/>
        <v>1.3536257265442002</v>
      </c>
      <c r="I117" s="23">
        <f>+I116+575725.5</f>
        <v>2174936.5</v>
      </c>
      <c r="J117" s="19"/>
    </row>
    <row r="118" spans="2:10" x14ac:dyDescent="0.3">
      <c r="B118" s="33">
        <v>11</v>
      </c>
      <c r="C118" s="31" t="s">
        <v>56</v>
      </c>
      <c r="D118" s="23">
        <v>400342.5</v>
      </c>
      <c r="E118" s="23">
        <v>0</v>
      </c>
      <c r="F118" s="40">
        <f t="shared" si="31"/>
        <v>400342.5</v>
      </c>
      <c r="G118" s="23">
        <f>+G117+F118</f>
        <v>2604719.5</v>
      </c>
      <c r="H118" s="41">
        <f t="shared" si="29"/>
        <v>-6.9453236865195169</v>
      </c>
      <c r="I118" s="23">
        <f>+I117+624191.5</f>
        <v>2799128</v>
      </c>
      <c r="J118" s="19"/>
    </row>
    <row r="119" spans="2:10" x14ac:dyDescent="0.3">
      <c r="B119" s="33">
        <v>12</v>
      </c>
      <c r="C119" s="31" t="s">
        <v>71</v>
      </c>
      <c r="D119" s="23">
        <v>272234</v>
      </c>
      <c r="E119" s="23">
        <v>0</v>
      </c>
      <c r="F119" s="40">
        <f t="shared" si="31"/>
        <v>272234</v>
      </c>
      <c r="G119" s="23">
        <f t="shared" si="32"/>
        <v>2876953.5</v>
      </c>
      <c r="H119" s="41">
        <f>((G119-I119)/I119)*100</f>
        <v>-11.447932805223703</v>
      </c>
      <c r="I119" s="23">
        <f>+I118+449755.5</f>
        <v>3248883.5</v>
      </c>
      <c r="J119" s="19"/>
    </row>
    <row r="120" spans="2:10" x14ac:dyDescent="0.3">
      <c r="B120" s="33">
        <v>13</v>
      </c>
      <c r="C120" s="31" t="s">
        <v>57</v>
      </c>
      <c r="D120" s="23">
        <v>143143</v>
      </c>
      <c r="E120" s="23">
        <v>0</v>
      </c>
      <c r="F120" s="40">
        <f t="shared" si="31"/>
        <v>143143</v>
      </c>
      <c r="G120" s="23">
        <f t="shared" si="32"/>
        <v>3020096.5</v>
      </c>
      <c r="H120" s="41">
        <f>((G120-I120)/I120)*100</f>
        <v>-14.419863138497391</v>
      </c>
      <c r="I120" s="23">
        <v>3528969</v>
      </c>
      <c r="J120" s="19"/>
    </row>
    <row r="121" spans="2:10" x14ac:dyDescent="0.3">
      <c r="B121" s="33">
        <v>14</v>
      </c>
      <c r="C121" s="49" t="s">
        <v>58</v>
      </c>
      <c r="D121" s="23">
        <v>79621</v>
      </c>
      <c r="E121" s="23">
        <v>0</v>
      </c>
      <c r="F121" s="40">
        <f t="shared" si="31"/>
        <v>79621</v>
      </c>
      <c r="G121" s="23">
        <f t="shared" si="32"/>
        <v>3099717.5</v>
      </c>
      <c r="H121" s="41">
        <f>((G121-I121)/I121)*100</f>
        <v>-15.28390336292062</v>
      </c>
      <c r="I121" s="23">
        <f>+I120+129978.5</f>
        <v>3658947.5</v>
      </c>
      <c r="J121" s="19"/>
    </row>
    <row r="122" spans="2:10" x14ac:dyDescent="0.3">
      <c r="B122" s="33">
        <v>15</v>
      </c>
      <c r="C122" s="31" t="s">
        <v>59</v>
      </c>
      <c r="D122" s="23">
        <v>47870</v>
      </c>
      <c r="E122" s="23">
        <v>0</v>
      </c>
      <c r="F122" s="40">
        <f t="shared" si="31"/>
        <v>47870</v>
      </c>
      <c r="G122" s="23">
        <f t="shared" si="32"/>
        <v>3147587.5</v>
      </c>
      <c r="H122" s="41">
        <f>((G122-I122)/I122)*100</f>
        <v>-16.210919536634641</v>
      </c>
      <c r="I122" s="23">
        <f>+I121+97613</f>
        <v>3756560.5</v>
      </c>
      <c r="J122" s="19"/>
    </row>
    <row r="123" spans="2:10" x14ac:dyDescent="0.3">
      <c r="B123" s="33">
        <v>16</v>
      </c>
      <c r="C123" s="31" t="s">
        <v>60</v>
      </c>
      <c r="D123" s="23">
        <v>81430.5</v>
      </c>
      <c r="E123" s="23">
        <v>0</v>
      </c>
      <c r="F123" s="40">
        <f t="shared" si="31"/>
        <v>81430.5</v>
      </c>
      <c r="G123" s="23">
        <f t="shared" si="32"/>
        <v>3229018</v>
      </c>
      <c r="H123" s="41">
        <f t="shared" ref="H123:H135" si="33">((G123-I123)/I123)*100</f>
        <v>-15.235111001615353</v>
      </c>
      <c r="I123" s="23">
        <v>3809381.5</v>
      </c>
      <c r="J123" s="19"/>
    </row>
    <row r="124" spans="2:10" x14ac:dyDescent="0.3">
      <c r="B124" s="33">
        <v>17</v>
      </c>
      <c r="C124" s="31" t="s">
        <v>61</v>
      </c>
      <c r="D124" s="23">
        <v>0</v>
      </c>
      <c r="E124" s="23">
        <v>0</v>
      </c>
      <c r="F124" s="40">
        <f t="shared" si="31"/>
        <v>0</v>
      </c>
      <c r="G124" s="23">
        <f t="shared" si="32"/>
        <v>3229018</v>
      </c>
      <c r="H124" s="41">
        <f t="shared" si="33"/>
        <v>-16.888202514703423</v>
      </c>
      <c r="I124" s="23">
        <v>3885150</v>
      </c>
      <c r="J124" s="19"/>
    </row>
    <row r="125" spans="2:10" x14ac:dyDescent="0.3">
      <c r="B125" s="33">
        <v>18</v>
      </c>
      <c r="C125" s="31" t="s">
        <v>62</v>
      </c>
      <c r="D125" s="23">
        <v>0</v>
      </c>
      <c r="E125" s="23">
        <v>0</v>
      </c>
      <c r="F125" s="40">
        <f t="shared" si="31"/>
        <v>0</v>
      </c>
      <c r="G125" s="23">
        <f t="shared" si="32"/>
        <v>3229018</v>
      </c>
      <c r="H125" s="41">
        <f t="shared" si="33"/>
        <v>-18.347012892957551</v>
      </c>
      <c r="I125" s="23">
        <f>+I124+69412</f>
        <v>3954562</v>
      </c>
      <c r="J125" s="19"/>
    </row>
    <row r="126" spans="2:10" x14ac:dyDescent="0.3">
      <c r="B126" s="33">
        <v>19</v>
      </c>
      <c r="C126" s="31" t="s">
        <v>63</v>
      </c>
      <c r="D126" s="23">
        <v>0</v>
      </c>
      <c r="E126" s="23">
        <v>0</v>
      </c>
      <c r="F126" s="40">
        <f t="shared" si="31"/>
        <v>0</v>
      </c>
      <c r="G126" s="23">
        <f t="shared" si="32"/>
        <v>3229018</v>
      </c>
      <c r="H126" s="41">
        <f t="shared" si="33"/>
        <v>-18.408167122591234</v>
      </c>
      <c r="I126" s="23">
        <f>+I125+2964</f>
        <v>3957526</v>
      </c>
      <c r="J126" s="19"/>
    </row>
    <row r="127" spans="2:10" x14ac:dyDescent="0.3">
      <c r="B127" s="33">
        <v>20</v>
      </c>
      <c r="C127" s="31" t="s">
        <v>72</v>
      </c>
      <c r="D127" s="23">
        <v>0</v>
      </c>
      <c r="E127" s="23">
        <v>0</v>
      </c>
      <c r="F127" s="40">
        <f t="shared" ref="F127:F135" si="34">+E127+D127</f>
        <v>0</v>
      </c>
      <c r="G127" s="23">
        <f t="shared" ref="G127:G135" si="35">+G126+F127</f>
        <v>3229018</v>
      </c>
      <c r="H127" s="41">
        <f t="shared" si="33"/>
        <v>-18.412599510680462</v>
      </c>
      <c r="I127" s="23">
        <f>+I126+215</f>
        <v>3957741</v>
      </c>
      <c r="J127" s="19"/>
    </row>
    <row r="128" spans="2:10" x14ac:dyDescent="0.3">
      <c r="B128" s="33">
        <v>21</v>
      </c>
      <c r="C128" s="31" t="s">
        <v>65</v>
      </c>
      <c r="D128" s="23">
        <v>0</v>
      </c>
      <c r="E128" s="23">
        <v>0</v>
      </c>
      <c r="F128" s="40">
        <f t="shared" si="34"/>
        <v>0</v>
      </c>
      <c r="G128" s="23">
        <f t="shared" si="35"/>
        <v>3229018</v>
      </c>
      <c r="H128" s="41">
        <f t="shared" si="33"/>
        <v>-18.535031381119964</v>
      </c>
      <c r="I128" s="23">
        <f>+I127+5948</f>
        <v>3963689</v>
      </c>
      <c r="J128" s="19"/>
    </row>
    <row r="129" spans="2:10" x14ac:dyDescent="0.3">
      <c r="B129" s="33">
        <v>22</v>
      </c>
      <c r="C129" s="31" t="s">
        <v>66</v>
      </c>
      <c r="D129" s="23">
        <v>1484.5</v>
      </c>
      <c r="E129" s="23">
        <v>0</v>
      </c>
      <c r="F129" s="40">
        <f t="shared" si="34"/>
        <v>1484.5</v>
      </c>
      <c r="G129" s="23">
        <f t="shared" si="35"/>
        <v>3230502.5</v>
      </c>
      <c r="H129" s="41">
        <f t="shared" si="33"/>
        <v>-18.702489720169932</v>
      </c>
      <c r="I129" s="23">
        <f>+I128+9990.5</f>
        <v>3973679.5</v>
      </c>
      <c r="J129" s="19"/>
    </row>
    <row r="130" spans="2:10" x14ac:dyDescent="0.3">
      <c r="B130" s="33">
        <v>23</v>
      </c>
      <c r="C130" s="31" t="s">
        <v>76</v>
      </c>
      <c r="D130" s="23">
        <v>0</v>
      </c>
      <c r="E130" s="23">
        <v>0</v>
      </c>
      <c r="F130" s="40">
        <f t="shared" si="34"/>
        <v>0</v>
      </c>
      <c r="G130" s="23">
        <f t="shared" si="35"/>
        <v>3230502.5</v>
      </c>
      <c r="H130" s="41">
        <f t="shared" si="33"/>
        <v>-18.702489720169932</v>
      </c>
      <c r="I130" s="23">
        <f>+I129+0</f>
        <v>3973679.5</v>
      </c>
      <c r="J130" s="19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34"/>
        <v>0</v>
      </c>
      <c r="G131" s="23">
        <f t="shared" si="35"/>
        <v>3230502.5</v>
      </c>
      <c r="H131" s="41">
        <f t="shared" si="33"/>
        <v>-24.078398486323955</v>
      </c>
      <c r="I131" s="23">
        <f>+I130+281371.02</f>
        <v>4255050.5199999996</v>
      </c>
      <c r="J131" s="19"/>
    </row>
    <row r="132" spans="2:10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34"/>
        <v>0</v>
      </c>
      <c r="G132" s="23">
        <f t="shared" si="35"/>
        <v>3230502.5</v>
      </c>
      <c r="H132" s="41">
        <f t="shared" si="33"/>
        <v>-24.078398486323955</v>
      </c>
      <c r="I132" s="23">
        <f>+I131+0</f>
        <v>4255050.5199999996</v>
      </c>
      <c r="J132" s="19"/>
    </row>
    <row r="133" spans="2:10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34"/>
        <v>0</v>
      </c>
      <c r="G133" s="95">
        <f t="shared" si="35"/>
        <v>3230502.5</v>
      </c>
      <c r="H133" s="41">
        <f t="shared" si="33"/>
        <v>-24.078398486323955</v>
      </c>
      <c r="I133" s="23">
        <f>+I132+0</f>
        <v>4255050.5199999996</v>
      </c>
      <c r="J133" s="19"/>
    </row>
    <row r="134" spans="2:10" x14ac:dyDescent="0.3">
      <c r="B134" s="33">
        <v>27</v>
      </c>
      <c r="C134" s="93" t="s">
        <v>79</v>
      </c>
      <c r="D134" s="94">
        <v>0</v>
      </c>
      <c r="E134" s="95">
        <v>0</v>
      </c>
      <c r="F134" s="96">
        <f t="shared" si="34"/>
        <v>0</v>
      </c>
      <c r="G134" s="95">
        <f t="shared" si="35"/>
        <v>3230502.5</v>
      </c>
      <c r="H134" s="41">
        <f t="shared" si="33"/>
        <v>-24.078398486323955</v>
      </c>
      <c r="I134" s="23">
        <f>+I133+0</f>
        <v>4255050.5199999996</v>
      </c>
      <c r="J134" s="19"/>
    </row>
    <row r="135" spans="2:10" x14ac:dyDescent="0.3">
      <c r="B135" s="33">
        <v>28</v>
      </c>
      <c r="C135" s="93" t="s">
        <v>80</v>
      </c>
      <c r="D135" s="94">
        <v>0</v>
      </c>
      <c r="E135" s="95">
        <v>281501</v>
      </c>
      <c r="F135" s="96">
        <f t="shared" si="34"/>
        <v>281501</v>
      </c>
      <c r="G135" s="95">
        <f t="shared" si="35"/>
        <v>3512003.5</v>
      </c>
      <c r="H135" s="41">
        <f t="shared" si="33"/>
        <v>-17.462707352297187</v>
      </c>
      <c r="I135" s="23">
        <f>+I134+0</f>
        <v>4255050.5199999996</v>
      </c>
      <c r="J135" s="19"/>
    </row>
    <row r="136" spans="2:10" x14ac:dyDescent="0.3">
      <c r="B136" s="97">
        <v>29</v>
      </c>
      <c r="C136" s="67" t="s">
        <v>81</v>
      </c>
      <c r="D136" s="94">
        <v>0</v>
      </c>
      <c r="E136" s="95">
        <v>0</v>
      </c>
      <c r="F136" s="96">
        <f t="shared" ref="F136:F140" si="36">+E136+D136</f>
        <v>0</v>
      </c>
      <c r="G136" s="95">
        <f t="shared" ref="G136:G139" si="37">+G135+F136</f>
        <v>3512003.5</v>
      </c>
      <c r="H136" s="41">
        <f t="shared" ref="H136:H139" si="38">((G136-I136)/I136)*100</f>
        <v>-17.462707352297187</v>
      </c>
      <c r="I136" s="23">
        <f t="shared" ref="I136:I142" si="39">+I135+0</f>
        <v>4255050.5199999996</v>
      </c>
      <c r="J136" s="10"/>
    </row>
    <row r="137" spans="2:10" x14ac:dyDescent="0.3">
      <c r="B137" s="33">
        <v>30</v>
      </c>
      <c r="C137" s="67" t="s">
        <v>82</v>
      </c>
      <c r="D137" s="94">
        <v>0</v>
      </c>
      <c r="E137" s="95">
        <v>0</v>
      </c>
      <c r="F137" s="96">
        <f t="shared" si="36"/>
        <v>0</v>
      </c>
      <c r="G137" s="95">
        <f t="shared" si="37"/>
        <v>3512003.5</v>
      </c>
      <c r="H137" s="41">
        <f t="shared" si="38"/>
        <v>-17.462707352297187</v>
      </c>
      <c r="I137" s="23">
        <f t="shared" si="39"/>
        <v>4255050.5199999996</v>
      </c>
      <c r="J137" s="10"/>
    </row>
    <row r="138" spans="2:10" x14ac:dyDescent="0.3">
      <c r="B138" s="33">
        <v>31</v>
      </c>
      <c r="C138" s="67" t="s">
        <v>83</v>
      </c>
      <c r="D138" s="94">
        <v>0</v>
      </c>
      <c r="E138" s="95">
        <v>0</v>
      </c>
      <c r="F138" s="96">
        <f t="shared" si="36"/>
        <v>0</v>
      </c>
      <c r="G138" s="95">
        <f t="shared" si="37"/>
        <v>3512003.5</v>
      </c>
      <c r="H138" s="41">
        <f t="shared" si="38"/>
        <v>-17.462707352297187</v>
      </c>
      <c r="I138" s="23">
        <f t="shared" si="39"/>
        <v>4255050.5199999996</v>
      </c>
      <c r="J138" s="10"/>
    </row>
    <row r="139" spans="2:10" x14ac:dyDescent="0.3">
      <c r="B139" s="97">
        <v>32</v>
      </c>
      <c r="C139" s="67" t="s">
        <v>84</v>
      </c>
      <c r="D139" s="94">
        <v>0</v>
      </c>
      <c r="E139" s="95">
        <v>0</v>
      </c>
      <c r="F139" s="96">
        <f t="shared" si="36"/>
        <v>0</v>
      </c>
      <c r="G139" s="95">
        <f t="shared" si="37"/>
        <v>3512003.5</v>
      </c>
      <c r="H139" s="41">
        <f t="shared" si="38"/>
        <v>-17.462707352297187</v>
      </c>
      <c r="I139" s="23">
        <f t="shared" si="39"/>
        <v>4255050.5199999996</v>
      </c>
      <c r="J139" s="10"/>
    </row>
    <row r="140" spans="2:10" x14ac:dyDescent="0.3">
      <c r="B140" s="33">
        <v>33</v>
      </c>
      <c r="C140" s="67" t="s">
        <v>85</v>
      </c>
      <c r="D140" s="94">
        <v>0</v>
      </c>
      <c r="E140" s="95">
        <v>0</v>
      </c>
      <c r="F140" s="96">
        <f t="shared" si="36"/>
        <v>0</v>
      </c>
      <c r="G140" s="95">
        <f>+G139+F140</f>
        <v>3512003.5</v>
      </c>
      <c r="H140" s="41">
        <f>((G140-I140)/I140)*100</f>
        <v>-17.462707352297187</v>
      </c>
      <c r="I140" s="23">
        <f t="shared" si="39"/>
        <v>4255050.5199999996</v>
      </c>
      <c r="J140" s="10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3512003.5</v>
      </c>
      <c r="H141" s="41">
        <f t="shared" ref="H141:H142" si="40">((G141-I141)/I141)*100</f>
        <v>-17.462707352297187</v>
      </c>
      <c r="I141" s="23">
        <f t="shared" si="39"/>
        <v>4255050.5199999996</v>
      </c>
      <c r="J141" s="10"/>
    </row>
    <row r="142" spans="2:10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3512003.5</v>
      </c>
      <c r="H142" s="41">
        <f t="shared" si="40"/>
        <v>-17.462707352297187</v>
      </c>
      <c r="I142" s="23">
        <f t="shared" si="39"/>
        <v>4255050.5199999996</v>
      </c>
      <c r="J142" s="10"/>
    </row>
    <row r="143" spans="2:10" hidden="1" x14ac:dyDescent="0.3">
      <c r="B143" s="33">
        <v>36</v>
      </c>
      <c r="C143" s="67"/>
      <c r="D143" s="94"/>
      <c r="E143" s="95"/>
      <c r="F143" s="96"/>
      <c r="G143" s="96"/>
      <c r="H143" s="41"/>
      <c r="I143" s="23"/>
      <c r="J143" s="10"/>
    </row>
    <row r="144" spans="2:10" hidden="1" x14ac:dyDescent="0.3">
      <c r="B144" s="33">
        <v>37</v>
      </c>
      <c r="C144" s="67"/>
      <c r="D144" s="94"/>
      <c r="E144" s="95"/>
      <c r="F144" s="96"/>
      <c r="G144" s="96"/>
      <c r="H144" s="41"/>
      <c r="I144" s="23"/>
      <c r="J144" s="10"/>
    </row>
    <row r="145" spans="2:10" hidden="1" x14ac:dyDescent="0.3">
      <c r="B145" s="97">
        <v>38</v>
      </c>
      <c r="C145" s="67"/>
      <c r="D145" s="94"/>
      <c r="E145" s="95"/>
      <c r="F145" s="96"/>
      <c r="G145" s="96"/>
      <c r="H145" s="41"/>
      <c r="I145" s="23"/>
      <c r="J145" s="10"/>
    </row>
    <row r="146" spans="2:10" hidden="1" x14ac:dyDescent="0.3">
      <c r="B146" s="33">
        <v>39</v>
      </c>
      <c r="C146" s="67"/>
      <c r="D146" s="94"/>
      <c r="E146" s="95"/>
      <c r="F146" s="96"/>
      <c r="G146" s="96"/>
      <c r="H146" s="41"/>
      <c r="I146" s="23"/>
      <c r="J146" s="10"/>
    </row>
    <row r="147" spans="2:10" hidden="1" x14ac:dyDescent="0.3">
      <c r="B147" s="97">
        <v>40</v>
      </c>
      <c r="C147" s="67"/>
      <c r="D147" s="94"/>
      <c r="E147" s="95"/>
      <c r="F147" s="96"/>
      <c r="G147" s="96"/>
      <c r="H147" s="41"/>
      <c r="I147" s="23"/>
      <c r="J147" s="10"/>
    </row>
    <row r="148" spans="2:10" x14ac:dyDescent="0.3">
      <c r="B148" s="5"/>
      <c r="C148" s="5"/>
      <c r="D148" s="6"/>
      <c r="E148" s="6"/>
      <c r="F148" s="6"/>
      <c r="G148" s="6"/>
      <c r="H148" s="7"/>
      <c r="I148" s="6"/>
      <c r="J148" s="5"/>
    </row>
    <row r="149" spans="2:10" x14ac:dyDescent="0.3">
      <c r="B149" s="8" t="s">
        <v>27</v>
      </c>
      <c r="C149" s="5"/>
      <c r="D149" s="5"/>
      <c r="E149" s="5"/>
      <c r="F149" s="5"/>
      <c r="G149" s="5"/>
      <c r="H149" s="5"/>
      <c r="I149" s="5"/>
      <c r="J149" s="5"/>
    </row>
    <row r="150" spans="2:10" x14ac:dyDescent="0.3">
      <c r="B150" s="9" t="s">
        <v>28</v>
      </c>
      <c r="C150" s="5"/>
      <c r="D150" s="5"/>
      <c r="E150" s="5"/>
      <c r="F150" s="5"/>
      <c r="G150" s="5"/>
      <c r="H150" s="5"/>
      <c r="I150" s="5"/>
      <c r="J150" s="5"/>
    </row>
    <row r="151" spans="2:10" x14ac:dyDescent="0.3">
      <c r="B151" s="9" t="s">
        <v>29</v>
      </c>
      <c r="C151" s="5"/>
      <c r="D151" s="5"/>
      <c r="E151" s="5"/>
      <c r="F151" s="5"/>
      <c r="G151" s="5"/>
      <c r="H151" s="5"/>
      <c r="I151" s="5"/>
      <c r="J151" s="5"/>
    </row>
    <row r="152" spans="2:10" x14ac:dyDescent="0.3">
      <c r="B152" s="9" t="s">
        <v>30</v>
      </c>
      <c r="C152" s="5"/>
      <c r="D152" s="5"/>
      <c r="E152" s="5"/>
      <c r="F152" s="5"/>
      <c r="G152" s="5"/>
      <c r="H152" s="5"/>
      <c r="I152" s="5"/>
      <c r="J152" s="5"/>
    </row>
    <row r="155" spans="2:10" ht="18" x14ac:dyDescent="0.35">
      <c r="B155" s="10"/>
      <c r="C155" s="10"/>
      <c r="D155" s="127" t="s">
        <v>34</v>
      </c>
      <c r="E155" s="127"/>
      <c r="F155" s="127"/>
      <c r="G155" s="127"/>
      <c r="H155" s="127"/>
      <c r="I155" s="127"/>
      <c r="J155" s="10"/>
    </row>
    <row r="156" spans="2:10" s="28" customFormat="1" ht="15.6" x14ac:dyDescent="0.3">
      <c r="B156" s="24"/>
      <c r="C156" s="24"/>
      <c r="D156" s="131" t="s">
        <v>40</v>
      </c>
      <c r="E156" s="131"/>
      <c r="F156" s="131"/>
      <c r="G156" s="131"/>
      <c r="H156" s="131"/>
      <c r="I156" s="131"/>
      <c r="J156" s="24"/>
    </row>
    <row r="157" spans="2:10" ht="15.9" customHeight="1" x14ac:dyDescent="0.3">
      <c r="B157" s="132" t="s">
        <v>89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28" t="s">
        <v>6</v>
      </c>
      <c r="E158" s="129"/>
      <c r="F158" s="129"/>
      <c r="G158" s="130"/>
      <c r="H158" s="120" t="s">
        <v>7</v>
      </c>
      <c r="I158" s="121"/>
      <c r="J158" s="4"/>
    </row>
    <row r="159" spans="2:10" x14ac:dyDescent="0.3">
      <c r="B159" s="12"/>
      <c r="C159" s="13"/>
      <c r="D159" s="124" t="s">
        <v>9</v>
      </c>
      <c r="E159" s="125"/>
      <c r="F159" s="125"/>
      <c r="G159" s="126"/>
      <c r="H159" s="122"/>
      <c r="I159" s="123"/>
      <c r="J159" s="4"/>
    </row>
    <row r="160" spans="2:10" ht="14.4" customHeight="1" x14ac:dyDescent="0.3">
      <c r="B160" s="111" t="s">
        <v>10</v>
      </c>
      <c r="C160" s="113" t="s">
        <v>11</v>
      </c>
      <c r="D160" s="16" t="s">
        <v>12</v>
      </c>
      <c r="E160" s="16" t="s">
        <v>13</v>
      </c>
      <c r="F160" s="16" t="s">
        <v>14</v>
      </c>
      <c r="G160" s="16" t="s">
        <v>15</v>
      </c>
      <c r="H160" s="115" t="s">
        <v>16</v>
      </c>
      <c r="I160" s="113" t="s">
        <v>17</v>
      </c>
      <c r="J160" s="17"/>
    </row>
    <row r="161" spans="2:10" ht="39" customHeight="1" x14ac:dyDescent="0.3">
      <c r="B161" s="112"/>
      <c r="C161" s="114"/>
      <c r="D161" s="117" t="s">
        <v>20</v>
      </c>
      <c r="E161" s="118"/>
      <c r="F161" s="118"/>
      <c r="G161" s="119"/>
      <c r="H161" s="116"/>
      <c r="I161" s="114"/>
      <c r="J161" s="17"/>
    </row>
    <row r="162" spans="2:10" x14ac:dyDescent="0.3">
      <c r="B162" s="33">
        <v>4</v>
      </c>
      <c r="C162" s="31" t="s">
        <v>21</v>
      </c>
      <c r="D162" s="18">
        <v>0</v>
      </c>
      <c r="E162" s="18">
        <v>0</v>
      </c>
      <c r="F162" s="36">
        <f>+D162+E162</f>
        <v>0</v>
      </c>
      <c r="G162" s="18">
        <f>+F162</f>
        <v>0</v>
      </c>
      <c r="H162" s="37" t="e">
        <f t="shared" ref="H162:H169" si="41">((G162-I162)/I162)*100</f>
        <v>#DIV/0!</v>
      </c>
      <c r="I162" s="18">
        <v>0</v>
      </c>
      <c r="J162" s="19"/>
    </row>
    <row r="163" spans="2:10" x14ac:dyDescent="0.3">
      <c r="B163" s="33">
        <v>5</v>
      </c>
      <c r="C163" s="31" t="s">
        <v>22</v>
      </c>
      <c r="D163" s="23">
        <v>0</v>
      </c>
      <c r="E163" s="23">
        <v>0</v>
      </c>
      <c r="F163" s="40">
        <f>+E163+D163</f>
        <v>0</v>
      </c>
      <c r="G163" s="23">
        <f>+G162+F163</f>
        <v>0</v>
      </c>
      <c r="H163" s="41" t="e">
        <f t="shared" si="41"/>
        <v>#DIV/0!</v>
      </c>
      <c r="I163" s="23">
        <v>0</v>
      </c>
      <c r="J163" s="19"/>
    </row>
    <row r="164" spans="2:10" x14ac:dyDescent="0.3">
      <c r="B164" s="33">
        <v>6</v>
      </c>
      <c r="C164" s="31" t="s">
        <v>23</v>
      </c>
      <c r="D164" s="23">
        <v>0</v>
      </c>
      <c r="E164" s="23">
        <v>0</v>
      </c>
      <c r="F164" s="40">
        <f>+E164+D164</f>
        <v>0</v>
      </c>
      <c r="G164" s="23">
        <f t="shared" ref="G164" si="42">+G163+F164</f>
        <v>0</v>
      </c>
      <c r="H164" s="41" t="e">
        <f t="shared" si="41"/>
        <v>#DIV/0!</v>
      </c>
      <c r="I164" s="23">
        <v>0</v>
      </c>
      <c r="J164" s="19"/>
    </row>
    <row r="165" spans="2:10" x14ac:dyDescent="0.3">
      <c r="B165" s="33">
        <v>7</v>
      </c>
      <c r="C165" s="31" t="s">
        <v>24</v>
      </c>
      <c r="D165" s="23">
        <v>0</v>
      </c>
      <c r="E165" s="23">
        <v>0</v>
      </c>
      <c r="F165" s="40">
        <f t="shared" ref="F165:F177" si="43">+E165+D165</f>
        <v>0</v>
      </c>
      <c r="G165" s="23">
        <v>0</v>
      </c>
      <c r="H165" s="41" t="e">
        <f t="shared" si="41"/>
        <v>#DIV/0!</v>
      </c>
      <c r="I165" s="23">
        <v>0</v>
      </c>
      <c r="J165" s="19"/>
    </row>
    <row r="166" spans="2:10" x14ac:dyDescent="0.3">
      <c r="B166" s="33">
        <v>8</v>
      </c>
      <c r="C166" s="31" t="s">
        <v>25</v>
      </c>
      <c r="D166" s="23">
        <v>0</v>
      </c>
      <c r="E166" s="23">
        <v>0</v>
      </c>
      <c r="F166" s="40">
        <f t="shared" si="43"/>
        <v>0</v>
      </c>
      <c r="G166" s="23">
        <f t="shared" ref="G166:G177" si="44">+G165+F166</f>
        <v>0</v>
      </c>
      <c r="H166" s="41" t="e">
        <f t="shared" si="41"/>
        <v>#DIV/0!</v>
      </c>
      <c r="I166" s="23">
        <v>0</v>
      </c>
      <c r="J166" s="19"/>
    </row>
    <row r="167" spans="2:10" x14ac:dyDescent="0.3">
      <c r="B167" s="33">
        <v>9</v>
      </c>
      <c r="C167" s="31" t="s">
        <v>26</v>
      </c>
      <c r="D167" s="23">
        <v>0</v>
      </c>
      <c r="E167" s="23">
        <v>0</v>
      </c>
      <c r="F167" s="40">
        <f t="shared" si="43"/>
        <v>0</v>
      </c>
      <c r="G167" s="23">
        <f t="shared" si="44"/>
        <v>0</v>
      </c>
      <c r="H167" s="41" t="e">
        <f t="shared" si="41"/>
        <v>#DIV/0!</v>
      </c>
      <c r="I167" s="23">
        <v>0</v>
      </c>
      <c r="J167" s="19"/>
    </row>
    <row r="168" spans="2:10" x14ac:dyDescent="0.3">
      <c r="B168" s="33">
        <v>10</v>
      </c>
      <c r="C168" s="31" t="s">
        <v>55</v>
      </c>
      <c r="D168" s="23">
        <v>0</v>
      </c>
      <c r="E168" s="23">
        <v>0</v>
      </c>
      <c r="F168" s="40">
        <f t="shared" si="43"/>
        <v>0</v>
      </c>
      <c r="G168" s="23">
        <f t="shared" si="44"/>
        <v>0</v>
      </c>
      <c r="H168" s="41" t="e">
        <f t="shared" si="41"/>
        <v>#DIV/0!</v>
      </c>
      <c r="I168" s="23">
        <v>0</v>
      </c>
      <c r="J168" s="19"/>
    </row>
    <row r="169" spans="2:10" x14ac:dyDescent="0.3">
      <c r="B169" s="33">
        <v>11</v>
      </c>
      <c r="C169" s="31" t="s">
        <v>56</v>
      </c>
      <c r="D169" s="23">
        <v>0</v>
      </c>
      <c r="E169" s="23">
        <v>0</v>
      </c>
      <c r="F169" s="40">
        <f t="shared" si="43"/>
        <v>0</v>
      </c>
      <c r="G169" s="23">
        <f t="shared" si="44"/>
        <v>0</v>
      </c>
      <c r="H169" s="41" t="e">
        <f t="shared" si="41"/>
        <v>#DIV/0!</v>
      </c>
      <c r="I169" s="23">
        <v>0</v>
      </c>
      <c r="J169" s="19"/>
    </row>
    <row r="170" spans="2:10" x14ac:dyDescent="0.3">
      <c r="B170" s="33">
        <v>12</v>
      </c>
      <c r="C170" s="31" t="s">
        <v>71</v>
      </c>
      <c r="D170" s="23">
        <v>0</v>
      </c>
      <c r="E170" s="23">
        <v>0</v>
      </c>
      <c r="F170" s="40">
        <f t="shared" si="43"/>
        <v>0</v>
      </c>
      <c r="G170" s="23">
        <f t="shared" si="44"/>
        <v>0</v>
      </c>
      <c r="H170" s="41" t="e">
        <f>((G170-I170)/I170)*100</f>
        <v>#DIV/0!</v>
      </c>
      <c r="I170" s="23">
        <v>0</v>
      </c>
      <c r="J170" s="19"/>
    </row>
    <row r="171" spans="2:10" x14ac:dyDescent="0.3">
      <c r="B171" s="33">
        <v>13</v>
      </c>
      <c r="C171" s="31" t="s">
        <v>57</v>
      </c>
      <c r="D171" s="23">
        <v>0</v>
      </c>
      <c r="E171" s="23">
        <v>0</v>
      </c>
      <c r="F171" s="40">
        <f t="shared" si="43"/>
        <v>0</v>
      </c>
      <c r="G171" s="23">
        <f t="shared" si="44"/>
        <v>0</v>
      </c>
      <c r="H171" s="41" t="e">
        <f>((G171-I171)/I171)*100</f>
        <v>#DIV/0!</v>
      </c>
      <c r="I171" s="23">
        <v>0</v>
      </c>
      <c r="J171" s="19"/>
    </row>
    <row r="172" spans="2:10" x14ac:dyDescent="0.3">
      <c r="B172" s="33">
        <v>14</v>
      </c>
      <c r="C172" s="49" t="s">
        <v>58</v>
      </c>
      <c r="D172" s="23">
        <v>0</v>
      </c>
      <c r="E172" s="23">
        <v>0</v>
      </c>
      <c r="F172" s="40">
        <f t="shared" si="43"/>
        <v>0</v>
      </c>
      <c r="G172" s="23">
        <f t="shared" si="44"/>
        <v>0</v>
      </c>
      <c r="H172" s="41" t="e">
        <f>((G172-I172)/I172)*100</f>
        <v>#DIV/0!</v>
      </c>
      <c r="I172" s="23">
        <v>0</v>
      </c>
      <c r="J172" s="19"/>
    </row>
    <row r="173" spans="2:10" x14ac:dyDescent="0.3">
      <c r="B173" s="33">
        <v>15</v>
      </c>
      <c r="C173" s="31" t="s">
        <v>59</v>
      </c>
      <c r="D173" s="23">
        <v>0</v>
      </c>
      <c r="E173" s="23">
        <v>0</v>
      </c>
      <c r="F173" s="40">
        <f t="shared" si="43"/>
        <v>0</v>
      </c>
      <c r="G173" s="23">
        <f t="shared" si="44"/>
        <v>0</v>
      </c>
      <c r="H173" s="41" t="e">
        <f>((G173-I173)/I173)*100</f>
        <v>#DIV/0!</v>
      </c>
      <c r="I173" s="23">
        <v>0</v>
      </c>
      <c r="J173" s="19"/>
    </row>
    <row r="174" spans="2:10" x14ac:dyDescent="0.3">
      <c r="B174" s="33">
        <v>16</v>
      </c>
      <c r="C174" s="31" t="s">
        <v>60</v>
      </c>
      <c r="D174" s="23">
        <v>0</v>
      </c>
      <c r="E174" s="23">
        <v>0</v>
      </c>
      <c r="F174" s="40">
        <f t="shared" si="43"/>
        <v>0</v>
      </c>
      <c r="G174" s="23">
        <f t="shared" si="44"/>
        <v>0</v>
      </c>
      <c r="H174" s="41" t="e">
        <f t="shared" ref="H174:H177" si="45">((G174-I174)/I174)*100</f>
        <v>#DIV/0!</v>
      </c>
      <c r="I174" s="23">
        <v>0</v>
      </c>
      <c r="J174" s="19"/>
    </row>
    <row r="175" spans="2:10" x14ac:dyDescent="0.3">
      <c r="B175" s="33">
        <v>16</v>
      </c>
      <c r="C175" s="31" t="s">
        <v>60</v>
      </c>
      <c r="D175" s="23">
        <v>0</v>
      </c>
      <c r="E175" s="23">
        <v>0</v>
      </c>
      <c r="F175" s="40">
        <f t="shared" si="43"/>
        <v>0</v>
      </c>
      <c r="G175" s="23">
        <f t="shared" si="44"/>
        <v>0</v>
      </c>
      <c r="H175" s="41" t="e">
        <f t="shared" si="45"/>
        <v>#DIV/0!</v>
      </c>
      <c r="I175" s="23">
        <v>0</v>
      </c>
      <c r="J175" s="19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43"/>
        <v>0</v>
      </c>
      <c r="G176" s="23">
        <f t="shared" si="44"/>
        <v>0</v>
      </c>
      <c r="H176" s="41" t="e">
        <f t="shared" si="45"/>
        <v>#DIV/0!</v>
      </c>
      <c r="I176" s="23">
        <v>0</v>
      </c>
      <c r="J176" s="19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43"/>
        <v>0</v>
      </c>
      <c r="G177" s="23">
        <f t="shared" si="44"/>
        <v>0</v>
      </c>
      <c r="H177" s="41" t="e">
        <f t="shared" si="45"/>
        <v>#DIV/0!</v>
      </c>
      <c r="I177" s="23">
        <v>0</v>
      </c>
      <c r="J177" s="19"/>
    </row>
    <row r="178" spans="2:10" x14ac:dyDescent="0.3">
      <c r="B178" s="33">
        <v>20</v>
      </c>
      <c r="C178" s="31" t="s">
        <v>72</v>
      </c>
      <c r="D178" s="23">
        <v>0</v>
      </c>
      <c r="E178" s="23">
        <v>0</v>
      </c>
      <c r="F178" s="40">
        <f t="shared" ref="F178:F186" si="46">+E178+D178</f>
        <v>0</v>
      </c>
      <c r="G178" s="23">
        <f t="shared" ref="G178:G186" si="47">+G177+F178</f>
        <v>0</v>
      </c>
      <c r="H178" s="41" t="e">
        <f t="shared" ref="H178" si="48">((G178-I178)/I178)*100</f>
        <v>#DIV/0!</v>
      </c>
      <c r="I178" s="23">
        <v>0</v>
      </c>
      <c r="J178" s="19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46"/>
        <v>0</v>
      </c>
      <c r="G179" s="23">
        <f t="shared" si="47"/>
        <v>0</v>
      </c>
      <c r="H179" s="41" t="e">
        <f t="shared" ref="H179" si="49">((G179-I179)/I179)*100</f>
        <v>#DIV/0!</v>
      </c>
      <c r="I179" s="23">
        <v>0</v>
      </c>
      <c r="J179" s="19"/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46"/>
        <v>0</v>
      </c>
      <c r="G180" s="23">
        <f t="shared" si="47"/>
        <v>0</v>
      </c>
      <c r="H180" s="11" t="e">
        <f>+H179</f>
        <v>#DIV/0!</v>
      </c>
      <c r="I180" s="23">
        <v>0</v>
      </c>
      <c r="J180" s="19"/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46"/>
        <v>0</v>
      </c>
      <c r="G181" s="23">
        <f t="shared" si="47"/>
        <v>0</v>
      </c>
      <c r="H181" s="41" t="e">
        <f t="shared" ref="H181:H186" si="50">((G181-I181)/I181)*100</f>
        <v>#DIV/0!</v>
      </c>
      <c r="I181" s="23">
        <v>0</v>
      </c>
      <c r="J181" s="19"/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46"/>
        <v>0</v>
      </c>
      <c r="G182" s="23">
        <f t="shared" si="47"/>
        <v>0</v>
      </c>
      <c r="H182" s="41" t="e">
        <f t="shared" si="50"/>
        <v>#DIV/0!</v>
      </c>
      <c r="I182" s="23">
        <v>0</v>
      </c>
      <c r="J182" s="19"/>
    </row>
    <row r="183" spans="2:10" x14ac:dyDescent="0.3">
      <c r="B183" s="33">
        <v>25</v>
      </c>
      <c r="C183" s="67" t="s">
        <v>69</v>
      </c>
      <c r="D183" s="23">
        <v>0</v>
      </c>
      <c r="E183" s="23">
        <v>0</v>
      </c>
      <c r="F183" s="40">
        <f t="shared" si="46"/>
        <v>0</v>
      </c>
      <c r="G183" s="23">
        <f t="shared" si="47"/>
        <v>0</v>
      </c>
      <c r="H183" s="41" t="e">
        <f t="shared" si="50"/>
        <v>#DIV/0!</v>
      </c>
      <c r="I183" s="23">
        <f>+I182+0</f>
        <v>0</v>
      </c>
      <c r="J183" s="19"/>
    </row>
    <row r="184" spans="2:10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46"/>
        <v>0</v>
      </c>
      <c r="G184" s="95">
        <f t="shared" si="47"/>
        <v>0</v>
      </c>
      <c r="H184" s="41" t="e">
        <f t="shared" si="50"/>
        <v>#DIV/0!</v>
      </c>
      <c r="I184" s="23">
        <f>+I183+0</f>
        <v>0</v>
      </c>
      <c r="J184" s="19"/>
    </row>
    <row r="185" spans="2:10" x14ac:dyDescent="0.3">
      <c r="B185" s="33">
        <v>27</v>
      </c>
      <c r="C185" s="93" t="s">
        <v>79</v>
      </c>
      <c r="D185" s="94">
        <v>0</v>
      </c>
      <c r="E185" s="95">
        <v>0</v>
      </c>
      <c r="F185" s="96">
        <f t="shared" si="46"/>
        <v>0</v>
      </c>
      <c r="G185" s="95">
        <f t="shared" si="47"/>
        <v>0</v>
      </c>
      <c r="H185" s="41" t="e">
        <f t="shared" si="50"/>
        <v>#DIV/0!</v>
      </c>
      <c r="I185" s="23">
        <f>+I184+0</f>
        <v>0</v>
      </c>
      <c r="J185" s="19"/>
    </row>
    <row r="186" spans="2:10" x14ac:dyDescent="0.3">
      <c r="B186" s="97">
        <v>28</v>
      </c>
      <c r="C186" s="93" t="s">
        <v>80</v>
      </c>
      <c r="D186" s="94">
        <v>0</v>
      </c>
      <c r="E186" s="95">
        <v>0</v>
      </c>
      <c r="F186" s="96">
        <f t="shared" si="46"/>
        <v>0</v>
      </c>
      <c r="G186" s="95">
        <f t="shared" si="47"/>
        <v>0</v>
      </c>
      <c r="H186" s="41" t="e">
        <f t="shared" si="50"/>
        <v>#DIV/0!</v>
      </c>
      <c r="I186" s="23">
        <f>+I185+0</f>
        <v>0</v>
      </c>
      <c r="J186" s="19"/>
    </row>
    <row r="187" spans="2:10" x14ac:dyDescent="0.3">
      <c r="B187" s="33">
        <v>29</v>
      </c>
      <c r="C187" s="67" t="s">
        <v>81</v>
      </c>
      <c r="D187" s="94">
        <v>0</v>
      </c>
      <c r="E187" s="95">
        <v>0</v>
      </c>
      <c r="F187" s="96">
        <f t="shared" ref="F187:F191" si="51">+E187+D187</f>
        <v>0</v>
      </c>
      <c r="G187" s="95">
        <f t="shared" ref="G187:G190" si="52">+G186+F187</f>
        <v>0</v>
      </c>
      <c r="H187" s="41" t="e">
        <f t="shared" ref="H187:H190" si="53">((G187-I187)/I187)*100</f>
        <v>#DIV/0!</v>
      </c>
      <c r="I187" s="23">
        <f t="shared" ref="I187:I193" si="54">+I186+0</f>
        <v>0</v>
      </c>
      <c r="J187" s="10"/>
    </row>
    <row r="188" spans="2:10" x14ac:dyDescent="0.3">
      <c r="B188" s="97">
        <v>30</v>
      </c>
      <c r="C188" s="67" t="s">
        <v>82</v>
      </c>
      <c r="D188" s="94">
        <v>0</v>
      </c>
      <c r="E188" s="95">
        <v>0</v>
      </c>
      <c r="F188" s="96">
        <f t="shared" si="51"/>
        <v>0</v>
      </c>
      <c r="G188" s="95">
        <f t="shared" si="52"/>
        <v>0</v>
      </c>
      <c r="H188" s="41" t="e">
        <f t="shared" si="53"/>
        <v>#DIV/0!</v>
      </c>
      <c r="I188" s="23">
        <f t="shared" si="54"/>
        <v>0</v>
      </c>
      <c r="J188" s="10"/>
    </row>
    <row r="189" spans="2:10" x14ac:dyDescent="0.3">
      <c r="B189" s="33">
        <v>31</v>
      </c>
      <c r="C189" s="67" t="s">
        <v>83</v>
      </c>
      <c r="D189" s="94">
        <v>0</v>
      </c>
      <c r="E189" s="95">
        <v>0</v>
      </c>
      <c r="F189" s="96">
        <f t="shared" si="51"/>
        <v>0</v>
      </c>
      <c r="G189" s="95">
        <f t="shared" si="52"/>
        <v>0</v>
      </c>
      <c r="H189" s="41" t="e">
        <f t="shared" si="53"/>
        <v>#DIV/0!</v>
      </c>
      <c r="I189" s="23">
        <f t="shared" si="54"/>
        <v>0</v>
      </c>
      <c r="J189" s="10"/>
    </row>
    <row r="190" spans="2:10" x14ac:dyDescent="0.3">
      <c r="B190" s="97">
        <v>32</v>
      </c>
      <c r="C190" s="67" t="s">
        <v>84</v>
      </c>
      <c r="D190" s="94">
        <v>0</v>
      </c>
      <c r="E190" s="95">
        <v>0</v>
      </c>
      <c r="F190" s="96">
        <f t="shared" si="51"/>
        <v>0</v>
      </c>
      <c r="G190" s="95">
        <f t="shared" si="52"/>
        <v>0</v>
      </c>
      <c r="H190" s="41" t="e">
        <f t="shared" si="53"/>
        <v>#DIV/0!</v>
      </c>
      <c r="I190" s="23">
        <f t="shared" si="54"/>
        <v>0</v>
      </c>
      <c r="J190" s="10"/>
    </row>
    <row r="191" spans="2:10" x14ac:dyDescent="0.3">
      <c r="B191" s="97">
        <v>33</v>
      </c>
      <c r="C191" s="67" t="s">
        <v>85</v>
      </c>
      <c r="D191" s="94">
        <v>0</v>
      </c>
      <c r="E191" s="95">
        <v>0</v>
      </c>
      <c r="F191" s="96">
        <f t="shared" si="51"/>
        <v>0</v>
      </c>
      <c r="G191" s="95">
        <f>+G190+F191</f>
        <v>0</v>
      </c>
      <c r="H191" s="41" t="e">
        <f>((G191-I191)/I191)*100</f>
        <v>#DIV/0!</v>
      </c>
      <c r="I191" s="23">
        <f t="shared" si="54"/>
        <v>0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0</v>
      </c>
      <c r="H192" s="41" t="e">
        <f t="shared" ref="H192:H193" si="55">((G192-I192)/I192)*100</f>
        <v>#DIV/0!</v>
      </c>
      <c r="I192" s="23">
        <f t="shared" si="54"/>
        <v>0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0</v>
      </c>
      <c r="H193" s="41" t="e">
        <f t="shared" si="55"/>
        <v>#DIV/0!</v>
      </c>
      <c r="I193" s="23">
        <f t="shared" si="54"/>
        <v>0</v>
      </c>
      <c r="J193" s="10"/>
    </row>
    <row r="194" spans="2:10" hidden="1" x14ac:dyDescent="0.3">
      <c r="B194" s="97">
        <v>36</v>
      </c>
      <c r="C194" s="67"/>
      <c r="D194" s="94"/>
      <c r="E194" s="95"/>
      <c r="F194" s="96"/>
      <c r="G194" s="96"/>
      <c r="H194" s="41"/>
      <c r="I194" s="23"/>
      <c r="J194" s="10"/>
    </row>
    <row r="195" spans="2:10" hidden="1" x14ac:dyDescent="0.3">
      <c r="B195" s="33">
        <v>37</v>
      </c>
      <c r="C195" s="67"/>
      <c r="D195" s="94"/>
      <c r="E195" s="95"/>
      <c r="F195" s="96"/>
      <c r="G195" s="96"/>
      <c r="H195" s="41"/>
      <c r="I195" s="23"/>
      <c r="J195" s="10"/>
    </row>
    <row r="196" spans="2:10" hidden="1" x14ac:dyDescent="0.3">
      <c r="B196" s="97">
        <v>38</v>
      </c>
      <c r="C196" s="67"/>
      <c r="D196" s="94"/>
      <c r="E196" s="95"/>
      <c r="F196" s="96"/>
      <c r="G196" s="96"/>
      <c r="H196" s="41"/>
      <c r="I196" s="23"/>
      <c r="J196" s="10"/>
    </row>
    <row r="197" spans="2:10" hidden="1" x14ac:dyDescent="0.3">
      <c r="B197" s="97">
        <v>39</v>
      </c>
      <c r="C197" s="67"/>
      <c r="D197" s="94"/>
      <c r="E197" s="95"/>
      <c r="F197" s="96"/>
      <c r="G197" s="96"/>
      <c r="H197" s="41"/>
      <c r="I197" s="23"/>
      <c r="J197" s="10"/>
    </row>
    <row r="198" spans="2:10" hidden="1" x14ac:dyDescent="0.3">
      <c r="B198" s="33">
        <v>40</v>
      </c>
      <c r="C198" s="67"/>
      <c r="D198" s="94"/>
      <c r="E198" s="95"/>
      <c r="F198" s="96"/>
      <c r="G198" s="96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7"/>
      <c r="I199" s="6"/>
      <c r="J199" s="5"/>
    </row>
    <row r="200" spans="2:10" x14ac:dyDescent="0.3">
      <c r="B200" s="8" t="s">
        <v>27</v>
      </c>
      <c r="C200" s="5"/>
      <c r="D200" s="5"/>
      <c r="E200" s="5"/>
      <c r="F200" s="5"/>
      <c r="G200" s="5"/>
      <c r="H200" s="5"/>
      <c r="I200" s="5"/>
      <c r="J200" s="5"/>
    </row>
    <row r="201" spans="2:10" x14ac:dyDescent="0.3">
      <c r="B201" s="9" t="s">
        <v>28</v>
      </c>
      <c r="C201" s="5"/>
      <c r="D201" s="5"/>
      <c r="E201" s="5"/>
      <c r="F201" s="5"/>
      <c r="G201" s="5"/>
      <c r="H201" s="5"/>
      <c r="I201" s="5"/>
      <c r="J201" s="5"/>
    </row>
    <row r="202" spans="2:10" x14ac:dyDescent="0.3">
      <c r="B202" s="9" t="s">
        <v>29</v>
      </c>
      <c r="C202" s="5"/>
      <c r="D202" s="5"/>
      <c r="E202" s="5"/>
      <c r="F202" s="5"/>
      <c r="G202" s="5"/>
      <c r="H202" s="5"/>
      <c r="I202" s="5"/>
      <c r="J202" s="5"/>
    </row>
    <row r="203" spans="2:10" x14ac:dyDescent="0.3">
      <c r="B203" s="9" t="s">
        <v>30</v>
      </c>
      <c r="C203" s="5"/>
      <c r="D203" s="5"/>
      <c r="E203" s="5"/>
      <c r="F203" s="5"/>
      <c r="G203" s="5"/>
      <c r="H203" s="5"/>
      <c r="I203" s="5"/>
      <c r="J203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N203"/>
  <sheetViews>
    <sheetView topLeftCell="A46" zoomScale="75" zoomScaleNormal="75" workbookViewId="0">
      <selection activeCell="E97" sqref="E97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2" customWidth="1"/>
    <col min="5" max="5" width="13" style="32" customWidth="1"/>
    <col min="6" max="6" width="14.875" style="32" customWidth="1"/>
    <col min="7" max="7" width="14.625" style="32" customWidth="1"/>
    <col min="8" max="9" width="13" style="32" customWidth="1"/>
    <col min="10" max="10" width="9" style="32"/>
    <col min="11" max="11" width="9" style="3"/>
    <col min="12" max="12" width="11.625" style="3" customWidth="1"/>
    <col min="13" max="14" width="10.875" style="3" bestFit="1" customWidth="1"/>
    <col min="15" max="16384" width="9" style="3"/>
  </cols>
  <sheetData>
    <row r="3" spans="2:12" s="28" customFormat="1" ht="18" x14ac:dyDescent="0.35">
      <c r="B3" s="24"/>
      <c r="C3" s="24"/>
      <c r="D3" s="171" t="s">
        <v>42</v>
      </c>
      <c r="E3" s="171"/>
      <c r="F3" s="171"/>
      <c r="G3" s="171"/>
      <c r="H3" s="171"/>
      <c r="I3" s="171"/>
      <c r="J3" s="45"/>
      <c r="K3" s="29"/>
      <c r="L3" s="2"/>
    </row>
    <row r="4" spans="2:12" ht="15.9" customHeight="1" x14ac:dyDescent="0.3">
      <c r="B4" s="132" t="s">
        <v>89</v>
      </c>
      <c r="C4" s="132"/>
      <c r="D4" s="132"/>
      <c r="E4" s="132"/>
      <c r="F4" s="132"/>
      <c r="G4" s="132"/>
      <c r="H4" s="132"/>
      <c r="I4" s="132"/>
      <c r="J4" s="132"/>
      <c r="K4" s="1"/>
      <c r="L4" s="2"/>
    </row>
    <row r="5" spans="2:12" ht="14.4" customHeight="1" x14ac:dyDescent="0.3">
      <c r="B5" s="14"/>
      <c r="C5" s="15"/>
      <c r="D5" s="152" t="s">
        <v>6</v>
      </c>
      <c r="E5" s="153"/>
      <c r="F5" s="153"/>
      <c r="G5" s="154"/>
      <c r="H5" s="143" t="s">
        <v>7</v>
      </c>
      <c r="I5" s="144"/>
      <c r="J5" s="46"/>
      <c r="K5" s="1"/>
      <c r="L5" s="2"/>
    </row>
    <row r="6" spans="2:12" x14ac:dyDescent="0.3">
      <c r="B6" s="12"/>
      <c r="C6" s="13"/>
      <c r="D6" s="155" t="s">
        <v>9</v>
      </c>
      <c r="E6" s="156"/>
      <c r="F6" s="156"/>
      <c r="G6" s="157"/>
      <c r="H6" s="145"/>
      <c r="I6" s="146"/>
      <c r="J6" s="46"/>
      <c r="K6" s="1"/>
      <c r="L6" s="2"/>
    </row>
    <row r="7" spans="2:12" ht="18.899999999999999" customHeight="1" x14ac:dyDescent="0.3">
      <c r="B7" s="111" t="s">
        <v>10</v>
      </c>
      <c r="C7" s="113" t="s">
        <v>11</v>
      </c>
      <c r="D7" s="44" t="s">
        <v>12</v>
      </c>
      <c r="E7" s="44" t="s">
        <v>13</v>
      </c>
      <c r="F7" s="44" t="s">
        <v>14</v>
      </c>
      <c r="G7" s="44" t="s">
        <v>15</v>
      </c>
      <c r="H7" s="139" t="s">
        <v>16</v>
      </c>
      <c r="I7" s="141" t="s">
        <v>17</v>
      </c>
      <c r="J7" s="47"/>
      <c r="K7" s="1"/>
      <c r="L7" s="2"/>
    </row>
    <row r="8" spans="2:12" ht="32.4" customHeight="1" x14ac:dyDescent="0.3">
      <c r="B8" s="112"/>
      <c r="C8" s="114"/>
      <c r="D8" s="165" t="s">
        <v>20</v>
      </c>
      <c r="E8" s="166"/>
      <c r="F8" s="166"/>
      <c r="G8" s="167"/>
      <c r="H8" s="140"/>
      <c r="I8" s="142"/>
      <c r="J8" s="47"/>
      <c r="K8" s="1"/>
    </row>
    <row r="9" spans="2:12" x14ac:dyDescent="0.3">
      <c r="B9" s="33">
        <v>4</v>
      </c>
      <c r="C9" s="31" t="s">
        <v>21</v>
      </c>
      <c r="D9" s="18">
        <v>180929.31</v>
      </c>
      <c r="E9" s="18">
        <v>0</v>
      </c>
      <c r="F9" s="36">
        <f>+D9+E9</f>
        <v>180929.31</v>
      </c>
      <c r="G9" s="18">
        <f>+F9</f>
        <v>180929.31</v>
      </c>
      <c r="H9" s="37">
        <f>((G9-I11)/I11)*100</f>
        <v>-72.615433999046857</v>
      </c>
      <c r="I9" s="18">
        <v>31440</v>
      </c>
      <c r="J9" s="38"/>
      <c r="K9" s="1"/>
    </row>
    <row r="10" spans="2:12" x14ac:dyDescent="0.3">
      <c r="B10" s="33">
        <v>5</v>
      </c>
      <c r="C10" s="31" t="s">
        <v>22</v>
      </c>
      <c r="D10" s="23">
        <v>93255.93</v>
      </c>
      <c r="E10" s="23">
        <v>0</v>
      </c>
      <c r="F10" s="40">
        <f>+E10+D10</f>
        <v>93255.93</v>
      </c>
      <c r="G10" s="23">
        <f>+G9+F10</f>
        <v>274185.24</v>
      </c>
      <c r="H10" s="41">
        <f t="shared" ref="H10:H16" si="0">((G10-I10)/I10)*100</f>
        <v>-45.998035144408966</v>
      </c>
      <c r="I10" s="18">
        <f>+I9+476291.97</f>
        <v>507731.97</v>
      </c>
      <c r="J10" s="38"/>
      <c r="K10" s="1"/>
    </row>
    <row r="11" spans="2:12" x14ac:dyDescent="0.3">
      <c r="B11" s="33">
        <v>6</v>
      </c>
      <c r="C11" s="31" t="s">
        <v>23</v>
      </c>
      <c r="D11" s="23">
        <v>242659.54</v>
      </c>
      <c r="E11" s="23">
        <v>0</v>
      </c>
      <c r="F11" s="40">
        <f>+E11+D11</f>
        <v>242659.54</v>
      </c>
      <c r="G11" s="23">
        <f t="shared" ref="G11:G24" si="1">+G10+F11</f>
        <v>516844.78</v>
      </c>
      <c r="H11" s="41">
        <f t="shared" si="0"/>
        <v>-21.772928940268947</v>
      </c>
      <c r="I11" s="18">
        <f>+I10+152966.14</f>
        <v>660698.11</v>
      </c>
      <c r="J11" s="38"/>
      <c r="K11" s="1"/>
    </row>
    <row r="12" spans="2:12" x14ac:dyDescent="0.3">
      <c r="B12" s="33">
        <v>7</v>
      </c>
      <c r="C12" s="31" t="s">
        <v>24</v>
      </c>
      <c r="D12" s="23">
        <v>60050.02</v>
      </c>
      <c r="E12" s="23">
        <v>110420.5</v>
      </c>
      <c r="F12" s="40">
        <f t="shared" ref="F12:F24" si="2">+E12+D12</f>
        <v>170470.52</v>
      </c>
      <c r="G12" s="23">
        <f>+G11+F12</f>
        <v>687315.3</v>
      </c>
      <c r="H12" s="41">
        <f t="shared" si="0"/>
        <v>-20.094544662219896</v>
      </c>
      <c r="I12" s="23">
        <f>+I11+199462.56</f>
        <v>860160.66999999993</v>
      </c>
      <c r="J12" s="38"/>
      <c r="K12" s="1"/>
    </row>
    <row r="13" spans="2:12" x14ac:dyDescent="0.3">
      <c r="B13" s="33">
        <v>8</v>
      </c>
      <c r="C13" s="31" t="s">
        <v>25</v>
      </c>
      <c r="D13" s="23">
        <v>212440.55</v>
      </c>
      <c r="E13" s="23">
        <v>0</v>
      </c>
      <c r="F13" s="40">
        <f t="shared" si="2"/>
        <v>212440.55</v>
      </c>
      <c r="G13" s="23">
        <f t="shared" si="1"/>
        <v>899755.85000000009</v>
      </c>
      <c r="H13" s="41">
        <f t="shared" si="0"/>
        <v>-10.562986806051315</v>
      </c>
      <c r="I13" s="23">
        <v>1006021.8</v>
      </c>
      <c r="J13" s="38"/>
      <c r="K13" s="1"/>
      <c r="L13" s="32"/>
    </row>
    <row r="14" spans="2:12" x14ac:dyDescent="0.3">
      <c r="B14" s="33">
        <v>9</v>
      </c>
      <c r="C14" s="31" t="s">
        <v>26</v>
      </c>
      <c r="D14" s="23">
        <v>66821.509999999995</v>
      </c>
      <c r="E14" s="23">
        <v>0</v>
      </c>
      <c r="F14" s="40">
        <f t="shared" si="2"/>
        <v>66821.509999999995</v>
      </c>
      <c r="G14" s="23">
        <f t="shared" si="1"/>
        <v>966577.3600000001</v>
      </c>
      <c r="H14" s="41">
        <f t="shared" si="0"/>
        <v>-25.496879278215111</v>
      </c>
      <c r="I14" s="23">
        <f>+I13+291343.13</f>
        <v>1297364.9300000002</v>
      </c>
      <c r="J14" s="38"/>
      <c r="K14" s="1"/>
    </row>
    <row r="15" spans="2:12" x14ac:dyDescent="0.3">
      <c r="B15" s="33">
        <v>10</v>
      </c>
      <c r="C15" s="31" t="s">
        <v>55</v>
      </c>
      <c r="D15" s="23">
        <v>298695</v>
      </c>
      <c r="E15" s="23">
        <f>2818.4+2190</f>
        <v>5008.3999999999996</v>
      </c>
      <c r="F15" s="40">
        <f t="shared" si="2"/>
        <v>303703.40000000002</v>
      </c>
      <c r="G15" s="23">
        <f>+G14+F15</f>
        <v>1270280.7600000002</v>
      </c>
      <c r="H15" s="41">
        <f t="shared" si="0"/>
        <v>-15.307419953782073</v>
      </c>
      <c r="I15" s="23">
        <f>+I14+202507.62</f>
        <v>1499872.5500000003</v>
      </c>
      <c r="J15" s="38"/>
      <c r="K15" s="1"/>
    </row>
    <row r="16" spans="2:12" x14ac:dyDescent="0.3">
      <c r="B16" s="33">
        <v>11</v>
      </c>
      <c r="C16" s="31" t="s">
        <v>56</v>
      </c>
      <c r="D16" s="23">
        <v>166581.51999999999</v>
      </c>
      <c r="E16" s="23">
        <v>0</v>
      </c>
      <c r="F16" s="40">
        <f t="shared" si="2"/>
        <v>166581.51999999999</v>
      </c>
      <c r="G16" s="23">
        <f>+G15+F16</f>
        <v>1436862.2800000003</v>
      </c>
      <c r="H16" s="41">
        <f t="shared" si="0"/>
        <v>-16.306667549695568</v>
      </c>
      <c r="I16" s="23">
        <f>+I15+216945.55</f>
        <v>1716818.1000000003</v>
      </c>
      <c r="J16" s="38"/>
      <c r="K16" s="1"/>
    </row>
    <row r="17" spans="2:14" x14ac:dyDescent="0.3">
      <c r="B17" s="33">
        <v>12</v>
      </c>
      <c r="C17" s="31" t="s">
        <v>71</v>
      </c>
      <c r="D17" s="23">
        <v>199776.5</v>
      </c>
      <c r="E17" s="23">
        <v>0</v>
      </c>
      <c r="F17" s="40">
        <f t="shared" si="2"/>
        <v>199776.5</v>
      </c>
      <c r="G17" s="23">
        <f t="shared" si="1"/>
        <v>1636638.7800000003</v>
      </c>
      <c r="H17" s="41">
        <f>((G17-I17)/I17)*100</f>
        <v>-19.908776074927239</v>
      </c>
      <c r="I17" s="23">
        <f>+I16+326650.21</f>
        <v>2043468.3100000003</v>
      </c>
      <c r="J17" s="38"/>
      <c r="K17" s="1"/>
    </row>
    <row r="18" spans="2:14" x14ac:dyDescent="0.3">
      <c r="B18" s="33">
        <v>13</v>
      </c>
      <c r="C18" s="31" t="s">
        <v>57</v>
      </c>
      <c r="D18" s="23">
        <v>228932</v>
      </c>
      <c r="E18" s="23">
        <v>0</v>
      </c>
      <c r="F18" s="40">
        <f t="shared" si="2"/>
        <v>228932</v>
      </c>
      <c r="G18" s="23">
        <f t="shared" si="1"/>
        <v>1865570.7800000003</v>
      </c>
      <c r="H18" s="41">
        <f>((G18-I18)/I18)*100</f>
        <v>-12.515753073552469</v>
      </c>
      <c r="I18" s="23">
        <v>2132464.81</v>
      </c>
      <c r="J18" s="38"/>
      <c r="K18" s="1"/>
    </row>
    <row r="19" spans="2:14" x14ac:dyDescent="0.3">
      <c r="B19" s="33">
        <v>14</v>
      </c>
      <c r="C19" s="49" t="s">
        <v>58</v>
      </c>
      <c r="D19" s="23">
        <v>44366.51</v>
      </c>
      <c r="E19" s="23">
        <v>0</v>
      </c>
      <c r="F19" s="40">
        <f t="shared" si="2"/>
        <v>44366.51</v>
      </c>
      <c r="G19" s="23">
        <f t="shared" si="1"/>
        <v>1909937.2900000003</v>
      </c>
      <c r="H19" s="41">
        <f>((G19-I19)/I19)*100</f>
        <v>-15.388373075242665</v>
      </c>
      <c r="I19" s="23">
        <f>+I18+124834.05</f>
        <v>2257298.86</v>
      </c>
      <c r="J19" s="38"/>
      <c r="K19" s="1"/>
    </row>
    <row r="20" spans="2:14" x14ac:dyDescent="0.3">
      <c r="B20" s="33">
        <v>15</v>
      </c>
      <c r="C20" s="31" t="s">
        <v>59</v>
      </c>
      <c r="D20" s="23">
        <v>119424</v>
      </c>
      <c r="E20" s="23">
        <v>0</v>
      </c>
      <c r="F20" s="40">
        <f t="shared" si="2"/>
        <v>119424</v>
      </c>
      <c r="G20" s="23">
        <f t="shared" si="1"/>
        <v>2029361.2900000003</v>
      </c>
      <c r="H20" s="41">
        <f>((G20-I20)/I20)*100</f>
        <v>-17.801199441659634</v>
      </c>
      <c r="I20" s="23">
        <f>+I19+211546.52</f>
        <v>2468845.38</v>
      </c>
      <c r="J20" s="38"/>
      <c r="K20" s="1"/>
    </row>
    <row r="21" spans="2:14" x14ac:dyDescent="0.3">
      <c r="B21" s="33">
        <v>16</v>
      </c>
      <c r="C21" s="31" t="s">
        <v>60</v>
      </c>
      <c r="D21" s="23">
        <v>82566.5</v>
      </c>
      <c r="E21" s="23">
        <v>0</v>
      </c>
      <c r="F21" s="40">
        <f t="shared" si="2"/>
        <v>82566.5</v>
      </c>
      <c r="G21" s="23">
        <f t="shared" si="1"/>
        <v>2111927.79</v>
      </c>
      <c r="H21" s="41">
        <f t="shared" ref="H21:H32" si="3">((G21-I21)/I21)*100</f>
        <v>-17.596736282182139</v>
      </c>
      <c r="I21" s="23">
        <v>2562917.65</v>
      </c>
      <c r="J21" s="38"/>
      <c r="K21" s="1"/>
    </row>
    <row r="22" spans="2:14" x14ac:dyDescent="0.3">
      <c r="B22" s="33">
        <v>17</v>
      </c>
      <c r="C22" s="31" t="s">
        <v>61</v>
      </c>
      <c r="D22" s="23">
        <v>38780.5</v>
      </c>
      <c r="E22" s="23">
        <v>22369</v>
      </c>
      <c r="F22" s="40">
        <f t="shared" si="2"/>
        <v>61149.5</v>
      </c>
      <c r="G22" s="23">
        <f t="shared" si="1"/>
        <v>2173077.29</v>
      </c>
      <c r="H22" s="41">
        <f t="shared" si="3"/>
        <v>-16.333933330780965</v>
      </c>
      <c r="I22" s="23">
        <v>2597322.16</v>
      </c>
      <c r="J22" s="38"/>
      <c r="K22" s="1"/>
    </row>
    <row r="23" spans="2:14" x14ac:dyDescent="0.3">
      <c r="B23" s="33">
        <v>18</v>
      </c>
      <c r="C23" s="31" t="s">
        <v>62</v>
      </c>
      <c r="D23" s="23">
        <v>42804.5</v>
      </c>
      <c r="E23" s="23">
        <v>0</v>
      </c>
      <c r="F23" s="40">
        <f t="shared" si="2"/>
        <v>42804.5</v>
      </c>
      <c r="G23" s="23">
        <f t="shared" si="1"/>
        <v>2215881.79</v>
      </c>
      <c r="H23" s="41">
        <f t="shared" si="3"/>
        <v>-18.136680592707418</v>
      </c>
      <c r="I23" s="23">
        <f>+I22+109484.51</f>
        <v>2706806.67</v>
      </c>
      <c r="J23" s="38"/>
      <c r="K23" s="1"/>
      <c r="N23" s="32"/>
    </row>
    <row r="24" spans="2:14" x14ac:dyDescent="0.3">
      <c r="B24" s="33">
        <v>19</v>
      </c>
      <c r="C24" s="31" t="s">
        <v>63</v>
      </c>
      <c r="D24" s="23">
        <v>49453.5</v>
      </c>
      <c r="E24" s="23">
        <v>0</v>
      </c>
      <c r="F24" s="40">
        <f t="shared" si="2"/>
        <v>49453.5</v>
      </c>
      <c r="G24" s="23">
        <f t="shared" si="1"/>
        <v>2265335.29</v>
      </c>
      <c r="H24" s="41">
        <f t="shared" si="3"/>
        <v>-17.389261479489143</v>
      </c>
      <c r="I24" s="23">
        <f>+I23+35373.5</f>
        <v>2742180.17</v>
      </c>
      <c r="J24" s="38"/>
      <c r="K24" s="1"/>
    </row>
    <row r="25" spans="2:14" x14ac:dyDescent="0.3">
      <c r="B25" s="33">
        <v>20</v>
      </c>
      <c r="C25" s="31" t="s">
        <v>72</v>
      </c>
      <c r="D25" s="23">
        <v>13070.5</v>
      </c>
      <c r="E25" s="23">
        <v>8570</v>
      </c>
      <c r="F25" s="40">
        <f t="shared" ref="F25:F32" si="4">+E25+D25</f>
        <v>21640.5</v>
      </c>
      <c r="G25" s="23">
        <f t="shared" ref="G25:G32" si="5">+G24+F25</f>
        <v>2286975.79</v>
      </c>
      <c r="H25" s="41">
        <f t="shared" si="3"/>
        <v>-18.916151034523683</v>
      </c>
      <c r="I25" s="23">
        <f>+I24+78327.02</f>
        <v>2820507.19</v>
      </c>
      <c r="J25" s="38"/>
      <c r="K25" s="1"/>
      <c r="M25" s="32"/>
    </row>
    <row r="26" spans="2:14" x14ac:dyDescent="0.3">
      <c r="B26" s="33">
        <v>21</v>
      </c>
      <c r="C26" s="31" t="s">
        <v>65</v>
      </c>
      <c r="D26" s="23">
        <v>23914</v>
      </c>
      <c r="E26" s="23">
        <v>0</v>
      </c>
      <c r="F26" s="40">
        <f t="shared" si="4"/>
        <v>23914</v>
      </c>
      <c r="G26" s="23">
        <f>+G25+F26</f>
        <v>2310889.79</v>
      </c>
      <c r="H26" s="41">
        <f t="shared" si="3"/>
        <v>-18.430614970473595</v>
      </c>
      <c r="I26" s="23">
        <f>+I25+12528.5</f>
        <v>2833035.69</v>
      </c>
      <c r="J26" s="38"/>
      <c r="K26" s="1"/>
      <c r="L26" s="32"/>
    </row>
    <row r="27" spans="2:14" x14ac:dyDescent="0.3">
      <c r="B27" s="33">
        <v>22</v>
      </c>
      <c r="C27" s="31" t="s">
        <v>66</v>
      </c>
      <c r="D27" s="23">
        <v>95779.5</v>
      </c>
      <c r="E27" s="23">
        <v>0</v>
      </c>
      <c r="F27" s="40">
        <f t="shared" si="4"/>
        <v>95779.5</v>
      </c>
      <c r="G27" s="23">
        <f t="shared" si="5"/>
        <v>2406669.29</v>
      </c>
      <c r="H27" s="41">
        <f t="shared" si="3"/>
        <v>-15.059041425362693</v>
      </c>
      <c r="I27" s="23">
        <f>+I26+308</f>
        <v>2833343.69</v>
      </c>
      <c r="J27" s="38"/>
      <c r="K27" s="1"/>
    </row>
    <row r="28" spans="2:14" x14ac:dyDescent="0.3">
      <c r="B28" s="33">
        <v>23</v>
      </c>
      <c r="C28" s="31" t="s">
        <v>76</v>
      </c>
      <c r="D28" s="23">
        <v>121885</v>
      </c>
      <c r="E28" s="23">
        <v>0</v>
      </c>
      <c r="F28" s="40">
        <f t="shared" si="4"/>
        <v>121885</v>
      </c>
      <c r="G28" s="23">
        <f t="shared" si="5"/>
        <v>2528554.29</v>
      </c>
      <c r="H28" s="41">
        <f t="shared" si="3"/>
        <v>-10.757233620323694</v>
      </c>
      <c r="I28" s="23">
        <f>+I27+0</f>
        <v>2833343.69</v>
      </c>
      <c r="J28" s="38"/>
      <c r="K28" s="1"/>
    </row>
    <row r="29" spans="2:14" x14ac:dyDescent="0.3">
      <c r="B29" s="33">
        <v>24</v>
      </c>
      <c r="C29" s="31" t="s">
        <v>68</v>
      </c>
      <c r="D29" s="23">
        <v>7170</v>
      </c>
      <c r="E29" s="23">
        <v>0</v>
      </c>
      <c r="F29" s="40">
        <f t="shared" si="4"/>
        <v>7170</v>
      </c>
      <c r="G29" s="23">
        <f t="shared" si="5"/>
        <v>2535724.29</v>
      </c>
      <c r="H29" s="41">
        <f t="shared" si="3"/>
        <v>-4.0222821358373979</v>
      </c>
      <c r="I29" s="23">
        <f>+I28-191351</f>
        <v>2641992.69</v>
      </c>
      <c r="J29" s="38"/>
      <c r="K29" s="1"/>
    </row>
    <row r="30" spans="2:14" x14ac:dyDescent="0.3">
      <c r="B30" s="33">
        <v>25</v>
      </c>
      <c r="C30" s="67" t="s">
        <v>69</v>
      </c>
      <c r="D30" s="23">
        <v>26974.5</v>
      </c>
      <c r="E30" s="23">
        <v>0</v>
      </c>
      <c r="F30" s="40">
        <f t="shared" si="4"/>
        <v>26974.5</v>
      </c>
      <c r="G30" s="23">
        <f t="shared" si="5"/>
        <v>2562698.79</v>
      </c>
      <c r="H30" s="41">
        <f t="shared" si="3"/>
        <v>-3.0012914229524195</v>
      </c>
      <c r="I30" s="23">
        <f>+I29+0</f>
        <v>2641992.69</v>
      </c>
      <c r="J30" s="38"/>
      <c r="K30" s="1"/>
    </row>
    <row r="31" spans="2:14" x14ac:dyDescent="0.3">
      <c r="B31" s="33">
        <v>26</v>
      </c>
      <c r="C31" s="67" t="s">
        <v>70</v>
      </c>
      <c r="D31" s="23">
        <v>383.9</v>
      </c>
      <c r="E31" s="23">
        <v>0</v>
      </c>
      <c r="F31" s="40">
        <f t="shared" si="4"/>
        <v>383.9</v>
      </c>
      <c r="G31" s="23">
        <f t="shared" si="5"/>
        <v>2563082.69</v>
      </c>
      <c r="H31" s="41">
        <f t="shared" si="3"/>
        <v>-2.986760724156281</v>
      </c>
      <c r="I31" s="23">
        <f>+I30+0</f>
        <v>2641992.69</v>
      </c>
      <c r="J31" s="19"/>
      <c r="K31" s="1"/>
    </row>
    <row r="32" spans="2:14" x14ac:dyDescent="0.3">
      <c r="B32" s="33">
        <v>27</v>
      </c>
      <c r="C32" s="67" t="s">
        <v>79</v>
      </c>
      <c r="D32" s="23">
        <v>34845</v>
      </c>
      <c r="E32" s="23">
        <v>0</v>
      </c>
      <c r="F32" s="40">
        <f t="shared" si="4"/>
        <v>34845</v>
      </c>
      <c r="G32" s="23">
        <f t="shared" si="5"/>
        <v>2597927.69</v>
      </c>
      <c r="H32" s="41">
        <f t="shared" si="3"/>
        <v>-1.6678698683303321</v>
      </c>
      <c r="I32" s="23">
        <f>+I31+0</f>
        <v>2641992.69</v>
      </c>
      <c r="J32" s="19"/>
      <c r="K32" s="1"/>
      <c r="L32" s="32"/>
    </row>
    <row r="33" spans="2:12" x14ac:dyDescent="0.3">
      <c r="B33" s="33">
        <v>28</v>
      </c>
      <c r="C33" s="67" t="s">
        <v>80</v>
      </c>
      <c r="D33" s="23">
        <v>39783.5</v>
      </c>
      <c r="E33" s="23">
        <v>16549.5</v>
      </c>
      <c r="F33" s="40">
        <f t="shared" ref="F33" si="6">+E33+D33</f>
        <v>56333</v>
      </c>
      <c r="G33" s="23">
        <f t="shared" ref="G33" si="7">+G32+F33</f>
        <v>2654260.69</v>
      </c>
      <c r="H33" s="41">
        <f t="shared" ref="H33" si="8">((G33-I33)/I33)*100</f>
        <v>0.46434647780952037</v>
      </c>
      <c r="I33" s="23">
        <f>+I32+0</f>
        <v>2641992.69</v>
      </c>
      <c r="J33" s="19"/>
      <c r="K33" s="1"/>
    </row>
    <row r="34" spans="2:12" x14ac:dyDescent="0.3">
      <c r="B34" s="33">
        <v>29</v>
      </c>
      <c r="C34" s="67" t="s">
        <v>81</v>
      </c>
      <c r="D34" s="23">
        <v>0</v>
      </c>
      <c r="E34" s="23">
        <v>0</v>
      </c>
      <c r="F34" s="40">
        <f t="shared" ref="F34:F36" si="9">+E34+D34</f>
        <v>0</v>
      </c>
      <c r="G34" s="23">
        <f t="shared" ref="G34:G36" si="10">+G33+F34</f>
        <v>2654260.69</v>
      </c>
      <c r="H34" s="41">
        <f t="shared" ref="H34:H36" si="11">((G34-I34)/I34)*100</f>
        <v>0.46434647780952037</v>
      </c>
      <c r="I34" s="23">
        <f t="shared" ref="I34:I40" si="12">+I33+0</f>
        <v>2641992.69</v>
      </c>
      <c r="J34" s="10"/>
      <c r="K34" s="1"/>
    </row>
    <row r="35" spans="2:12" x14ac:dyDescent="0.3">
      <c r="B35" s="33">
        <v>30</v>
      </c>
      <c r="C35" s="67" t="s">
        <v>82</v>
      </c>
      <c r="D35" s="23">
        <v>14185</v>
      </c>
      <c r="E35" s="23">
        <v>0</v>
      </c>
      <c r="F35" s="40">
        <f t="shared" si="9"/>
        <v>14185</v>
      </c>
      <c r="G35" s="23">
        <f t="shared" si="10"/>
        <v>2668445.69</v>
      </c>
      <c r="H35" s="41">
        <f t="shared" si="11"/>
        <v>1.0012518240540627</v>
      </c>
      <c r="I35" s="23">
        <f t="shared" si="12"/>
        <v>2641992.69</v>
      </c>
      <c r="J35" s="10"/>
      <c r="K35" s="1"/>
    </row>
    <row r="36" spans="2:12" x14ac:dyDescent="0.3">
      <c r="B36" s="33">
        <v>31</v>
      </c>
      <c r="C36" s="67" t="s">
        <v>83</v>
      </c>
      <c r="D36" s="94">
        <v>1184</v>
      </c>
      <c r="E36" s="95">
        <v>0</v>
      </c>
      <c r="F36" s="96">
        <f t="shared" si="9"/>
        <v>1184</v>
      </c>
      <c r="G36" s="95">
        <f t="shared" si="10"/>
        <v>2669629.69</v>
      </c>
      <c r="H36" s="41">
        <f t="shared" si="11"/>
        <v>1.0460664824928034</v>
      </c>
      <c r="I36" s="23">
        <f t="shared" si="12"/>
        <v>2641992.69</v>
      </c>
      <c r="J36" s="10"/>
      <c r="K36" s="1"/>
      <c r="L36" s="32"/>
    </row>
    <row r="37" spans="2:12" x14ac:dyDescent="0.3">
      <c r="B37" s="33">
        <v>32</v>
      </c>
      <c r="C37" s="67" t="s">
        <v>84</v>
      </c>
      <c r="D37" s="94">
        <v>0</v>
      </c>
      <c r="E37" s="95">
        <v>0</v>
      </c>
      <c r="F37" s="96">
        <f t="shared" ref="F37:F38" si="13">+E37+D37</f>
        <v>0</v>
      </c>
      <c r="G37" s="95">
        <f t="shared" ref="G37" si="14">+G36+F37</f>
        <v>2669629.69</v>
      </c>
      <c r="H37" s="41">
        <f t="shared" ref="H37" si="15">((G37-I37)/I37)*100</f>
        <v>1.0460664824928034</v>
      </c>
      <c r="I37" s="23">
        <f t="shared" si="12"/>
        <v>2641992.69</v>
      </c>
      <c r="J37" s="10"/>
      <c r="K37" s="1"/>
      <c r="L37" s="32"/>
    </row>
    <row r="38" spans="2:12" x14ac:dyDescent="0.3">
      <c r="B38" s="33">
        <v>33</v>
      </c>
      <c r="C38" s="67" t="s">
        <v>85</v>
      </c>
      <c r="D38" s="94">
        <v>0</v>
      </c>
      <c r="E38" s="95">
        <v>-21110</v>
      </c>
      <c r="F38" s="96">
        <f t="shared" si="13"/>
        <v>-21110</v>
      </c>
      <c r="G38" s="95">
        <f>+G37+F38</f>
        <v>2648519.69</v>
      </c>
      <c r="H38" s="41">
        <f t="shared" ref="H38:H40" si="16">((G38-I38)/I38)*100</f>
        <v>0.24704837468721383</v>
      </c>
      <c r="I38" s="23">
        <f t="shared" si="12"/>
        <v>2641992.69</v>
      </c>
      <c r="J38" s="10"/>
      <c r="K38" s="1"/>
      <c r="L38" s="32"/>
    </row>
    <row r="39" spans="2:12" x14ac:dyDescent="0.3">
      <c r="B39" s="33">
        <v>34</v>
      </c>
      <c r="C39" s="67" t="s">
        <v>87</v>
      </c>
      <c r="D39" s="23">
        <v>0</v>
      </c>
      <c r="E39" s="23">
        <v>0</v>
      </c>
      <c r="F39" s="40">
        <v>0</v>
      </c>
      <c r="G39" s="23">
        <f>+G38+F39</f>
        <v>2648519.69</v>
      </c>
      <c r="H39" s="41">
        <f t="shared" si="16"/>
        <v>0.24704837468721383</v>
      </c>
      <c r="I39" s="23">
        <f t="shared" si="12"/>
        <v>2641992.69</v>
      </c>
      <c r="J39" s="10"/>
      <c r="K39" s="1"/>
      <c r="L39" s="32"/>
    </row>
    <row r="40" spans="2:12" x14ac:dyDescent="0.3">
      <c r="B40" s="33">
        <v>35</v>
      </c>
      <c r="C40" s="67" t="s">
        <v>86</v>
      </c>
      <c r="D40" s="23">
        <v>0</v>
      </c>
      <c r="E40" s="23">
        <v>-41</v>
      </c>
      <c r="F40" s="40">
        <f>+E40+D40</f>
        <v>-41</v>
      </c>
      <c r="G40" s="40">
        <f>+G39+F40</f>
        <v>2648478.69</v>
      </c>
      <c r="H40" s="41">
        <f t="shared" si="16"/>
        <v>0.24549651573789935</v>
      </c>
      <c r="I40" s="23">
        <f t="shared" si="12"/>
        <v>2641992.69</v>
      </c>
      <c r="J40" s="10"/>
      <c r="K40" s="1"/>
      <c r="L40" s="32"/>
    </row>
    <row r="41" spans="2:12" hidden="1" x14ac:dyDescent="0.3">
      <c r="B41" s="33">
        <v>36</v>
      </c>
      <c r="C41" s="67"/>
      <c r="D41" s="94"/>
      <c r="E41" s="95"/>
      <c r="F41" s="96"/>
      <c r="G41" s="96"/>
      <c r="H41" s="41"/>
      <c r="I41" s="23"/>
      <c r="J41" s="10"/>
      <c r="K41" s="1"/>
      <c r="L41" s="32"/>
    </row>
    <row r="42" spans="2:12" hidden="1" x14ac:dyDescent="0.3">
      <c r="B42" s="33">
        <v>37</v>
      </c>
      <c r="C42" s="67"/>
      <c r="D42" s="94"/>
      <c r="E42" s="95"/>
      <c r="F42" s="96"/>
      <c r="G42" s="96"/>
      <c r="H42" s="41"/>
      <c r="I42" s="23"/>
      <c r="J42" s="10"/>
      <c r="K42" s="1"/>
      <c r="L42" s="32"/>
    </row>
    <row r="43" spans="2:12" hidden="1" x14ac:dyDescent="0.3">
      <c r="B43" s="33">
        <v>38</v>
      </c>
      <c r="C43" s="67"/>
      <c r="D43" s="94"/>
      <c r="E43" s="95"/>
      <c r="F43" s="96"/>
      <c r="G43" s="96"/>
      <c r="H43" s="41"/>
      <c r="I43" s="23"/>
      <c r="J43" s="10"/>
      <c r="K43" s="1"/>
      <c r="L43" s="32"/>
    </row>
    <row r="44" spans="2:12" hidden="1" x14ac:dyDescent="0.3">
      <c r="B44" s="33">
        <v>39</v>
      </c>
      <c r="C44" s="67"/>
      <c r="D44" s="94"/>
      <c r="E44" s="95"/>
      <c r="F44" s="96"/>
      <c r="G44" s="96"/>
      <c r="H44" s="41"/>
      <c r="I44" s="23"/>
      <c r="J44" s="10"/>
      <c r="K44" s="1"/>
      <c r="L44" s="32"/>
    </row>
    <row r="45" spans="2:12" hidden="1" x14ac:dyDescent="0.3">
      <c r="B45" s="33">
        <v>40</v>
      </c>
      <c r="C45" s="67"/>
      <c r="D45" s="94"/>
      <c r="E45" s="95"/>
      <c r="F45" s="96"/>
      <c r="G45" s="96"/>
      <c r="H45" s="41"/>
      <c r="I45" s="23"/>
      <c r="J45" s="10"/>
      <c r="K45" s="1"/>
      <c r="L45" s="32"/>
    </row>
    <row r="46" spans="2:12" x14ac:dyDescent="0.3">
      <c r="B46" s="5"/>
      <c r="C46" s="5"/>
      <c r="D46" s="6"/>
      <c r="E46" s="6"/>
      <c r="F46" s="6"/>
      <c r="G46" s="6"/>
      <c r="H46" s="6"/>
      <c r="I46" s="6"/>
      <c r="J46" s="6"/>
      <c r="K46" s="1"/>
      <c r="L46" s="30"/>
    </row>
    <row r="47" spans="2:12" x14ac:dyDescent="0.3">
      <c r="B47" s="8" t="s">
        <v>27</v>
      </c>
      <c r="C47" s="5"/>
      <c r="D47" s="6"/>
      <c r="E47" s="6"/>
      <c r="F47" s="6"/>
      <c r="G47" s="6"/>
      <c r="H47" s="6"/>
      <c r="I47" s="6"/>
      <c r="J47" s="6"/>
      <c r="K47" s="1"/>
    </row>
    <row r="48" spans="2:12" x14ac:dyDescent="0.3">
      <c r="B48" s="9" t="s">
        <v>28</v>
      </c>
      <c r="C48" s="5"/>
      <c r="D48" s="6"/>
      <c r="E48" s="6"/>
      <c r="F48" s="6"/>
      <c r="G48" s="6"/>
      <c r="H48" s="6"/>
      <c r="I48" s="6"/>
      <c r="J48" s="6"/>
      <c r="K48" s="1"/>
    </row>
    <row r="49" spans="2:11" x14ac:dyDescent="0.3">
      <c r="B49" s="9" t="s">
        <v>29</v>
      </c>
      <c r="C49" s="5"/>
      <c r="D49" s="6"/>
      <c r="E49" s="6"/>
      <c r="F49" s="6"/>
      <c r="G49" s="6"/>
      <c r="H49" s="6"/>
      <c r="I49" s="6"/>
      <c r="J49" s="6"/>
      <c r="K49" s="1"/>
    </row>
    <row r="50" spans="2:11" x14ac:dyDescent="0.3">
      <c r="B50" s="9" t="s">
        <v>30</v>
      </c>
      <c r="C50" s="5"/>
      <c r="D50" s="6"/>
      <c r="E50" s="6"/>
      <c r="F50" s="6"/>
      <c r="G50" s="6"/>
      <c r="H50" s="6"/>
      <c r="I50" s="6"/>
      <c r="J50" s="6"/>
      <c r="K50" s="1"/>
    </row>
    <row r="51" spans="2:11" x14ac:dyDescent="0.3">
      <c r="B51" s="9"/>
      <c r="C51" s="5"/>
      <c r="D51" s="6"/>
      <c r="E51" s="6"/>
      <c r="F51" s="6"/>
      <c r="G51" s="6"/>
      <c r="H51" s="6"/>
      <c r="I51" s="6"/>
      <c r="J51" s="6"/>
      <c r="K51" s="1"/>
    </row>
    <row r="52" spans="2:11" x14ac:dyDescent="0.3">
      <c r="B52" s="9"/>
      <c r="C52" s="5"/>
      <c r="D52" s="6"/>
      <c r="E52" s="6"/>
      <c r="F52" s="6"/>
      <c r="G52" s="6"/>
      <c r="H52" s="6"/>
      <c r="I52" s="6"/>
      <c r="J52" s="6"/>
      <c r="K52" s="1"/>
    </row>
    <row r="53" spans="2:11" ht="18" x14ac:dyDescent="0.35">
      <c r="B53" s="10"/>
      <c r="C53" s="10"/>
      <c r="D53" s="164" t="s">
        <v>31</v>
      </c>
      <c r="E53" s="164"/>
      <c r="F53" s="164"/>
      <c r="G53" s="164"/>
      <c r="H53" s="164"/>
      <c r="I53" s="164"/>
      <c r="J53" s="35"/>
    </row>
    <row r="54" spans="2:11" s="28" customFormat="1" ht="18" x14ac:dyDescent="0.35">
      <c r="B54" s="24"/>
      <c r="C54" s="24"/>
      <c r="D54" s="174" t="s">
        <v>42</v>
      </c>
      <c r="E54" s="174"/>
      <c r="F54" s="174"/>
      <c r="G54" s="174"/>
      <c r="H54" s="174"/>
      <c r="I54" s="174"/>
      <c r="J54" s="45"/>
    </row>
    <row r="55" spans="2:11" ht="15.9" customHeight="1" x14ac:dyDescent="0.3">
      <c r="B55" s="132" t="s">
        <v>89</v>
      </c>
      <c r="C55" s="132"/>
      <c r="D55" s="132"/>
      <c r="E55" s="132"/>
      <c r="F55" s="132"/>
      <c r="G55" s="132"/>
      <c r="H55" s="132"/>
      <c r="I55" s="132"/>
      <c r="J55" s="132"/>
    </row>
    <row r="56" spans="2:11" ht="14.4" customHeight="1" x14ac:dyDescent="0.3">
      <c r="B56" s="14"/>
      <c r="C56" s="15"/>
      <c r="D56" s="152" t="s">
        <v>6</v>
      </c>
      <c r="E56" s="153"/>
      <c r="F56" s="153"/>
      <c r="G56" s="154"/>
      <c r="H56" s="143" t="s">
        <v>7</v>
      </c>
      <c r="I56" s="144"/>
      <c r="J56" s="46"/>
    </row>
    <row r="57" spans="2:11" x14ac:dyDescent="0.3">
      <c r="B57" s="12"/>
      <c r="C57" s="13"/>
      <c r="D57" s="155" t="s">
        <v>9</v>
      </c>
      <c r="E57" s="156"/>
      <c r="F57" s="156"/>
      <c r="G57" s="157"/>
      <c r="H57" s="145"/>
      <c r="I57" s="146"/>
      <c r="J57" s="46"/>
    </row>
    <row r="58" spans="2:11" ht="14.4" customHeight="1" x14ac:dyDescent="0.3">
      <c r="B58" s="111" t="s">
        <v>10</v>
      </c>
      <c r="C58" s="113" t="s">
        <v>11</v>
      </c>
      <c r="D58" s="44" t="s">
        <v>12</v>
      </c>
      <c r="E58" s="44" t="s">
        <v>13</v>
      </c>
      <c r="F58" s="44" t="s">
        <v>14</v>
      </c>
      <c r="G58" s="44" t="s">
        <v>15</v>
      </c>
      <c r="H58" s="139" t="s">
        <v>16</v>
      </c>
      <c r="I58" s="141" t="s">
        <v>17</v>
      </c>
      <c r="J58" s="47"/>
    </row>
    <row r="59" spans="2:11" ht="38.4" customHeight="1" x14ac:dyDescent="0.3">
      <c r="B59" s="112"/>
      <c r="C59" s="114"/>
      <c r="D59" s="165" t="s">
        <v>20</v>
      </c>
      <c r="E59" s="166"/>
      <c r="F59" s="166"/>
      <c r="G59" s="167"/>
      <c r="H59" s="140"/>
      <c r="I59" s="142"/>
      <c r="J59" s="47"/>
    </row>
    <row r="60" spans="2:11" x14ac:dyDescent="0.3">
      <c r="B60" s="33">
        <v>4</v>
      </c>
      <c r="C60" s="31" t="s">
        <v>21</v>
      </c>
      <c r="D60" s="18">
        <v>178440.81</v>
      </c>
      <c r="E60" s="18">
        <v>0</v>
      </c>
      <c r="F60" s="36">
        <f>+D60+E60</f>
        <v>178440.81</v>
      </c>
      <c r="G60" s="18">
        <f>+F60</f>
        <v>178440.81</v>
      </c>
      <c r="H60" s="37">
        <f t="shared" ref="H60:H67" si="17">((G60-I60)/I60)*100</f>
        <v>467.5598282442748</v>
      </c>
      <c r="I60" s="18">
        <v>31440</v>
      </c>
      <c r="J60" s="38"/>
    </row>
    <row r="61" spans="2:11" x14ac:dyDescent="0.3">
      <c r="B61" s="33">
        <v>5</v>
      </c>
      <c r="C61" s="31" t="s">
        <v>22</v>
      </c>
      <c r="D61" s="23">
        <v>71740.399999999994</v>
      </c>
      <c r="E61" s="23">
        <v>0</v>
      </c>
      <c r="F61" s="40">
        <f>+E61+D61</f>
        <v>71740.399999999994</v>
      </c>
      <c r="G61" s="23">
        <f>+G60+F61</f>
        <v>250181.21</v>
      </c>
      <c r="H61" s="41">
        <f t="shared" si="17"/>
        <v>24.575634243165592</v>
      </c>
      <c r="I61" s="23">
        <f>+I60+169386.76</f>
        <v>200826.76</v>
      </c>
      <c r="J61" s="38"/>
    </row>
    <row r="62" spans="2:11" x14ac:dyDescent="0.3">
      <c r="B62" s="33">
        <v>6</v>
      </c>
      <c r="C62" s="31" t="s">
        <v>23</v>
      </c>
      <c r="D62" s="23">
        <v>233351</v>
      </c>
      <c r="E62" s="23">
        <v>0</v>
      </c>
      <c r="F62" s="40">
        <f>+E62+D62</f>
        <v>233351</v>
      </c>
      <c r="G62" s="23">
        <f t="shared" ref="G62" si="18">+G61+F62</f>
        <v>483532.20999999996</v>
      </c>
      <c r="H62" s="41">
        <f t="shared" si="17"/>
        <v>88.683523925467185</v>
      </c>
      <c r="I62" s="23">
        <f>+I61+55439.5</f>
        <v>256266.26</v>
      </c>
      <c r="J62" s="38"/>
    </row>
    <row r="63" spans="2:11" x14ac:dyDescent="0.3">
      <c r="B63" s="33">
        <v>7</v>
      </c>
      <c r="C63" s="31" t="s">
        <v>24</v>
      </c>
      <c r="D63" s="23">
        <v>57485</v>
      </c>
      <c r="E63" s="23">
        <v>107820.5</v>
      </c>
      <c r="F63" s="40">
        <f t="shared" ref="F63:F75" si="19">+E63+D63</f>
        <v>165305.5</v>
      </c>
      <c r="G63" s="23">
        <f>+G62+F63</f>
        <v>648837.71</v>
      </c>
      <c r="H63" s="41">
        <f t="shared" si="17"/>
        <v>75.564505301344838</v>
      </c>
      <c r="I63" s="23">
        <f>+I62+113306</f>
        <v>369572.26</v>
      </c>
      <c r="J63" s="38"/>
    </row>
    <row r="64" spans="2:11" x14ac:dyDescent="0.3">
      <c r="B64" s="33">
        <v>8</v>
      </c>
      <c r="C64" s="31" t="s">
        <v>25</v>
      </c>
      <c r="D64" s="23">
        <v>203668</v>
      </c>
      <c r="E64" s="23">
        <v>0</v>
      </c>
      <c r="F64" s="40">
        <f t="shared" si="19"/>
        <v>203668</v>
      </c>
      <c r="G64" s="23">
        <f t="shared" ref="G64:G75" si="20">+G63+F64</f>
        <v>852505.71</v>
      </c>
      <c r="H64" s="41">
        <f t="shared" si="17"/>
        <v>97.920322896079838</v>
      </c>
      <c r="I64" s="23">
        <v>430731.77</v>
      </c>
      <c r="J64" s="38"/>
    </row>
    <row r="65" spans="2:10" x14ac:dyDescent="0.3">
      <c r="B65" s="33">
        <v>9</v>
      </c>
      <c r="C65" s="31" t="s">
        <v>26</v>
      </c>
      <c r="D65" s="23">
        <v>65282</v>
      </c>
      <c r="E65" s="23">
        <v>0</v>
      </c>
      <c r="F65" s="40">
        <f t="shared" si="19"/>
        <v>65282</v>
      </c>
      <c r="G65" s="23">
        <f t="shared" si="20"/>
        <v>917787.71</v>
      </c>
      <c r="H65" s="41">
        <f t="shared" si="17"/>
        <v>45.660291242907583</v>
      </c>
      <c r="I65" s="23">
        <f>+I64+199356.02</f>
        <v>630087.79</v>
      </c>
      <c r="J65" s="38"/>
    </row>
    <row r="66" spans="2:10" x14ac:dyDescent="0.3">
      <c r="B66" s="33">
        <v>10</v>
      </c>
      <c r="C66" s="31" t="s">
        <v>55</v>
      </c>
      <c r="D66" s="23">
        <v>278227.5</v>
      </c>
      <c r="E66" s="23">
        <f>2818.4+2190</f>
        <v>5008.3999999999996</v>
      </c>
      <c r="F66" s="40">
        <f t="shared" si="19"/>
        <v>283235.90000000002</v>
      </c>
      <c r="G66" s="23">
        <f t="shared" si="20"/>
        <v>1201023.6099999999</v>
      </c>
      <c r="H66" s="41">
        <f t="shared" si="17"/>
        <v>52.205694056423638</v>
      </c>
      <c r="I66" s="23">
        <f>+I65+158991.5</f>
        <v>789079.29</v>
      </c>
      <c r="J66" s="38"/>
    </row>
    <row r="67" spans="2:10" x14ac:dyDescent="0.3">
      <c r="B67" s="33">
        <v>11</v>
      </c>
      <c r="C67" s="31" t="s">
        <v>56</v>
      </c>
      <c r="D67" s="23">
        <v>161506.51</v>
      </c>
      <c r="E67" s="23">
        <v>0</v>
      </c>
      <c r="F67" s="40">
        <f t="shared" si="19"/>
        <v>161506.51</v>
      </c>
      <c r="G67" s="23">
        <f t="shared" si="20"/>
        <v>1362530.1199999999</v>
      </c>
      <c r="H67" s="41">
        <f t="shared" si="17"/>
        <v>44.244015037886882</v>
      </c>
      <c r="I67" s="23">
        <f>+I66+155521.51</f>
        <v>944600.8</v>
      </c>
      <c r="J67" s="38"/>
    </row>
    <row r="68" spans="2:10" x14ac:dyDescent="0.3">
      <c r="B68" s="33">
        <v>12</v>
      </c>
      <c r="C68" s="31" t="s">
        <v>71</v>
      </c>
      <c r="D68" s="23">
        <v>160145.5</v>
      </c>
      <c r="E68" s="23">
        <v>0</v>
      </c>
      <c r="F68" s="40">
        <f t="shared" si="19"/>
        <v>160145.5</v>
      </c>
      <c r="G68" s="23">
        <f t="shared" si="20"/>
        <v>1522675.6199999999</v>
      </c>
      <c r="H68" s="41">
        <f>((G68-I68)/I68)*100</f>
        <v>35.74352448357795</v>
      </c>
      <c r="I68" s="23">
        <f>+I67+177129.04</f>
        <v>1121729.8400000001</v>
      </c>
      <c r="J68" s="38"/>
    </row>
    <row r="69" spans="2:10" x14ac:dyDescent="0.3">
      <c r="B69" s="33">
        <v>13</v>
      </c>
      <c r="C69" s="31" t="s">
        <v>57</v>
      </c>
      <c r="D69" s="23">
        <v>204445.5</v>
      </c>
      <c r="E69" s="23">
        <v>0</v>
      </c>
      <c r="F69" s="40">
        <f t="shared" si="19"/>
        <v>204445.5</v>
      </c>
      <c r="G69" s="23">
        <f t="shared" si="20"/>
        <v>1727121.1199999999</v>
      </c>
      <c r="H69" s="41">
        <f>((G69-I69)/I69)*100</f>
        <v>43.361397603055941</v>
      </c>
      <c r="I69" s="23">
        <v>1204732.3400000001</v>
      </c>
      <c r="J69" s="38"/>
    </row>
    <row r="70" spans="2:10" x14ac:dyDescent="0.3">
      <c r="B70" s="33">
        <v>14</v>
      </c>
      <c r="C70" s="49" t="s">
        <v>58</v>
      </c>
      <c r="D70" s="23">
        <v>40266.51</v>
      </c>
      <c r="E70" s="23">
        <v>0</v>
      </c>
      <c r="F70" s="40">
        <f t="shared" si="19"/>
        <v>40266.51</v>
      </c>
      <c r="G70" s="23">
        <f t="shared" si="20"/>
        <v>1767387.63</v>
      </c>
      <c r="H70" s="41">
        <f>((G70-I70)/I70)*100</f>
        <v>37.367906628093721</v>
      </c>
      <c r="I70" s="23">
        <f>+I69+81876.5</f>
        <v>1286608.8400000001</v>
      </c>
      <c r="J70" s="38"/>
    </row>
    <row r="71" spans="2:10" x14ac:dyDescent="0.3">
      <c r="B71" s="33">
        <v>15</v>
      </c>
      <c r="C71" s="31" t="s">
        <v>59</v>
      </c>
      <c r="D71" s="23">
        <v>88103.5</v>
      </c>
      <c r="E71" s="23">
        <v>0</v>
      </c>
      <c r="F71" s="40">
        <f t="shared" si="19"/>
        <v>88103.5</v>
      </c>
      <c r="G71" s="23">
        <f t="shared" si="20"/>
        <v>1855491.13</v>
      </c>
      <c r="H71" s="41">
        <f>((G71-I71)/I71)*100</f>
        <v>24.892603458501704</v>
      </c>
      <c r="I71" s="23">
        <f>+I70+199060.51</f>
        <v>1485669.35</v>
      </c>
      <c r="J71" s="38"/>
    </row>
    <row r="72" spans="2:10" x14ac:dyDescent="0.3">
      <c r="B72" s="33">
        <v>16</v>
      </c>
      <c r="C72" s="31" t="s">
        <v>60</v>
      </c>
      <c r="D72" s="23">
        <v>47891</v>
      </c>
      <c r="E72" s="23">
        <v>0</v>
      </c>
      <c r="F72" s="40">
        <f t="shared" si="19"/>
        <v>47891</v>
      </c>
      <c r="G72" s="23">
        <f t="shared" si="20"/>
        <v>1903382.13</v>
      </c>
      <c r="H72" s="41">
        <f t="shared" ref="H72:H84" si="21">((G72-I72)/I72)*100</f>
        <v>20.594372628781528</v>
      </c>
      <c r="I72" s="23">
        <v>1578334.12</v>
      </c>
      <c r="J72" s="38"/>
    </row>
    <row r="73" spans="2:10" x14ac:dyDescent="0.3">
      <c r="B73" s="33">
        <v>17</v>
      </c>
      <c r="C73" s="31" t="s">
        <v>61</v>
      </c>
      <c r="D73" s="23">
        <v>494</v>
      </c>
      <c r="E73" s="23">
        <v>22369</v>
      </c>
      <c r="F73" s="40">
        <f t="shared" si="19"/>
        <v>22863</v>
      </c>
      <c r="G73" s="23">
        <f t="shared" si="20"/>
        <v>1926245.13</v>
      </c>
      <c r="H73" s="41">
        <f t="shared" si="21"/>
        <v>21.19432224383657</v>
      </c>
      <c r="I73" s="23">
        <v>1589385.62</v>
      </c>
      <c r="J73" s="38"/>
    </row>
    <row r="74" spans="2:10" x14ac:dyDescent="0.3">
      <c r="B74" s="33">
        <v>18</v>
      </c>
      <c r="C74" s="31" t="s">
        <v>62</v>
      </c>
      <c r="D74" s="23">
        <v>16687.5</v>
      </c>
      <c r="E74" s="23">
        <v>0</v>
      </c>
      <c r="F74" s="40">
        <f t="shared" si="19"/>
        <v>16687.5</v>
      </c>
      <c r="G74" s="23">
        <f t="shared" si="20"/>
        <v>1942932.63</v>
      </c>
      <c r="H74" s="41">
        <f t="shared" si="21"/>
        <v>18.38223729129318</v>
      </c>
      <c r="I74" s="23">
        <f>+I73+51851</f>
        <v>1641236.62</v>
      </c>
      <c r="J74" s="38"/>
    </row>
    <row r="75" spans="2:10" x14ac:dyDescent="0.3">
      <c r="B75" s="33">
        <v>19</v>
      </c>
      <c r="C75" s="31" t="s">
        <v>63</v>
      </c>
      <c r="D75" s="23">
        <v>20526.5</v>
      </c>
      <c r="E75" s="23">
        <v>0</v>
      </c>
      <c r="F75" s="40">
        <f t="shared" si="19"/>
        <v>20526.5</v>
      </c>
      <c r="G75" s="23">
        <f t="shared" si="20"/>
        <v>1963459.13</v>
      </c>
      <c r="H75" s="41">
        <f t="shared" si="21"/>
        <v>19.150496380923272</v>
      </c>
      <c r="I75" s="23">
        <f>+I74+6645</f>
        <v>1647881.62</v>
      </c>
      <c r="J75" s="38"/>
    </row>
    <row r="76" spans="2:10" x14ac:dyDescent="0.3">
      <c r="B76" s="33">
        <v>20</v>
      </c>
      <c r="C76" s="31" t="s">
        <v>72</v>
      </c>
      <c r="D76" s="23">
        <v>6019</v>
      </c>
      <c r="E76" s="23">
        <v>8570</v>
      </c>
      <c r="F76" s="40">
        <f t="shared" ref="F76:F84" si="22">+E76+D76</f>
        <v>14589</v>
      </c>
      <c r="G76" s="23">
        <f t="shared" ref="G76:G84" si="23">+G75+F76</f>
        <v>1978048.13</v>
      </c>
      <c r="H76" s="41">
        <f t="shared" si="21"/>
        <v>17.837782093837301</v>
      </c>
      <c r="I76" s="23">
        <f>+I75+30738</f>
        <v>1678619.62</v>
      </c>
      <c r="J76" s="38"/>
    </row>
    <row r="77" spans="2:10" x14ac:dyDescent="0.3">
      <c r="B77" s="33">
        <v>21</v>
      </c>
      <c r="C77" s="31" t="s">
        <v>65</v>
      </c>
      <c r="D77" s="23">
        <v>23914</v>
      </c>
      <c r="E77" s="23">
        <v>0</v>
      </c>
      <c r="F77" s="40">
        <f t="shared" si="22"/>
        <v>23914</v>
      </c>
      <c r="G77" s="23">
        <f t="shared" si="23"/>
        <v>2001962.13</v>
      </c>
      <c r="H77" s="41">
        <f t="shared" si="21"/>
        <v>18.622272000539994</v>
      </c>
      <c r="I77" s="23">
        <f>+I76+9058.5</f>
        <v>1687678.12</v>
      </c>
      <c r="J77" s="38"/>
    </row>
    <row r="78" spans="2:10" x14ac:dyDescent="0.3">
      <c r="B78" s="33">
        <v>22</v>
      </c>
      <c r="C78" s="31" t="s">
        <v>66</v>
      </c>
      <c r="D78" s="23">
        <v>95779.5</v>
      </c>
      <c r="E78" s="23">
        <v>0</v>
      </c>
      <c r="F78" s="40">
        <f t="shared" si="22"/>
        <v>95779.5</v>
      </c>
      <c r="G78" s="23">
        <f t="shared" si="23"/>
        <v>2097741.63</v>
      </c>
      <c r="H78" s="41">
        <f t="shared" si="21"/>
        <v>24.274815127034323</v>
      </c>
      <c r="I78" s="23">
        <f>+I77+308</f>
        <v>1687986.12</v>
      </c>
      <c r="J78" s="38"/>
    </row>
    <row r="79" spans="2:10" x14ac:dyDescent="0.3">
      <c r="B79" s="33">
        <v>23</v>
      </c>
      <c r="C79" s="31" t="s">
        <v>76</v>
      </c>
      <c r="D79" s="23">
        <v>98592.5</v>
      </c>
      <c r="E79" s="23">
        <v>0</v>
      </c>
      <c r="F79" s="40">
        <f t="shared" si="22"/>
        <v>98592.5</v>
      </c>
      <c r="G79" s="23">
        <f t="shared" si="23"/>
        <v>2196334.13</v>
      </c>
      <c r="H79" s="41">
        <f t="shared" si="21"/>
        <v>30.115651069453094</v>
      </c>
      <c r="I79" s="23">
        <f>+I78+0</f>
        <v>1687986.12</v>
      </c>
      <c r="J79" s="38"/>
    </row>
    <row r="80" spans="2:10" x14ac:dyDescent="0.3">
      <c r="B80" s="33">
        <v>24</v>
      </c>
      <c r="C80" s="31" t="s">
        <v>68</v>
      </c>
      <c r="D80" s="23">
        <v>7170</v>
      </c>
      <c r="E80" s="23">
        <v>0</v>
      </c>
      <c r="F80" s="40">
        <f t="shared" si="22"/>
        <v>7170</v>
      </c>
      <c r="G80" s="23">
        <f t="shared" si="23"/>
        <v>2203504.13</v>
      </c>
      <c r="H80" s="41">
        <f t="shared" si="21"/>
        <v>47.230550757087656</v>
      </c>
      <c r="I80" s="23">
        <f>+I79-191351</f>
        <v>1496635.12</v>
      </c>
      <c r="J80" s="38"/>
    </row>
    <row r="81" spans="2:10" x14ac:dyDescent="0.3">
      <c r="B81" s="33">
        <v>25</v>
      </c>
      <c r="C81" s="67" t="s">
        <v>69</v>
      </c>
      <c r="D81" s="23">
        <v>26974.5</v>
      </c>
      <c r="E81" s="23">
        <v>0</v>
      </c>
      <c r="F81" s="40">
        <f t="shared" si="22"/>
        <v>26974.5</v>
      </c>
      <c r="G81" s="23">
        <f t="shared" si="23"/>
        <v>2230478.63</v>
      </c>
      <c r="H81" s="41">
        <f t="shared" si="21"/>
        <v>49.032893869281899</v>
      </c>
      <c r="I81" s="23">
        <f>+I80+0</f>
        <v>1496635.12</v>
      </c>
      <c r="J81" s="38"/>
    </row>
    <row r="82" spans="2:10" x14ac:dyDescent="0.3">
      <c r="B82" s="97">
        <v>26</v>
      </c>
      <c r="C82" s="93" t="s">
        <v>70</v>
      </c>
      <c r="D82" s="94">
        <v>383.9</v>
      </c>
      <c r="E82" s="95">
        <v>0</v>
      </c>
      <c r="F82" s="96">
        <f t="shared" si="22"/>
        <v>383.9</v>
      </c>
      <c r="G82" s="95">
        <f t="shared" si="23"/>
        <v>2230862.5299999998</v>
      </c>
      <c r="H82" s="41">
        <f t="shared" si="21"/>
        <v>49.058544744025497</v>
      </c>
      <c r="I82" s="23">
        <f>+I81+0</f>
        <v>1496635.12</v>
      </c>
      <c r="J82" s="19"/>
    </row>
    <row r="83" spans="2:10" x14ac:dyDescent="0.3">
      <c r="B83" s="33">
        <v>27</v>
      </c>
      <c r="C83" s="67" t="s">
        <v>79</v>
      </c>
      <c r="D83" s="23">
        <v>34845</v>
      </c>
      <c r="E83" s="23">
        <v>0</v>
      </c>
      <c r="F83" s="40">
        <f t="shared" si="22"/>
        <v>34845</v>
      </c>
      <c r="G83" s="23">
        <f t="shared" si="23"/>
        <v>2265707.5299999998</v>
      </c>
      <c r="H83" s="41">
        <f t="shared" si="21"/>
        <v>51.386767537567849</v>
      </c>
      <c r="I83" s="23">
        <f>+I82+0</f>
        <v>1496635.12</v>
      </c>
      <c r="J83" s="19"/>
    </row>
    <row r="84" spans="2:10" x14ac:dyDescent="0.3">
      <c r="B84" s="97">
        <v>28</v>
      </c>
      <c r="C84" s="67" t="s">
        <v>80</v>
      </c>
      <c r="D84" s="23">
        <v>39783.5</v>
      </c>
      <c r="E84" s="23">
        <v>1591</v>
      </c>
      <c r="F84" s="40">
        <f t="shared" si="22"/>
        <v>41374.5</v>
      </c>
      <c r="G84" s="23">
        <f t="shared" si="23"/>
        <v>2307082.0299999998</v>
      </c>
      <c r="H84" s="41">
        <f t="shared" si="21"/>
        <v>54.151269014721478</v>
      </c>
      <c r="I84" s="23">
        <f>+I83+0</f>
        <v>1496635.12</v>
      </c>
      <c r="J84" s="19"/>
    </row>
    <row r="85" spans="2:10" x14ac:dyDescent="0.3">
      <c r="B85" s="33">
        <v>29</v>
      </c>
      <c r="C85" s="67" t="s">
        <v>81</v>
      </c>
      <c r="D85" s="23">
        <v>0</v>
      </c>
      <c r="E85" s="23">
        <v>0</v>
      </c>
      <c r="F85" s="40">
        <f t="shared" ref="F85:F89" si="24">+E85+D85</f>
        <v>0</v>
      </c>
      <c r="G85" s="23">
        <f t="shared" ref="G85:G88" si="25">+G84+F85</f>
        <v>2307082.0299999998</v>
      </c>
      <c r="H85" s="41">
        <f t="shared" ref="H85:H91" si="26">((G85-I85)/I85)*100</f>
        <v>54.151269014721478</v>
      </c>
      <c r="I85" s="23">
        <f t="shared" ref="I85:I91" si="27">+I84+0</f>
        <v>1496635.12</v>
      </c>
      <c r="J85" s="10"/>
    </row>
    <row r="86" spans="2:10" x14ac:dyDescent="0.3">
      <c r="B86" s="97">
        <v>30</v>
      </c>
      <c r="C86" s="67" t="s">
        <v>82</v>
      </c>
      <c r="D86" s="23">
        <v>14185</v>
      </c>
      <c r="E86" s="23">
        <v>0</v>
      </c>
      <c r="F86" s="40">
        <f t="shared" si="24"/>
        <v>14185</v>
      </c>
      <c r="G86" s="23">
        <f t="shared" si="25"/>
        <v>2321267.0299999998</v>
      </c>
      <c r="H86" s="41">
        <f t="shared" si="26"/>
        <v>55.099061820759601</v>
      </c>
      <c r="I86" s="23">
        <f t="shared" si="27"/>
        <v>1496635.12</v>
      </c>
      <c r="J86" s="10"/>
    </row>
    <row r="87" spans="2:10" x14ac:dyDescent="0.3">
      <c r="B87" s="33">
        <v>31</v>
      </c>
      <c r="C87" s="67" t="s">
        <v>83</v>
      </c>
      <c r="D87" s="23">
        <v>1184</v>
      </c>
      <c r="E87" s="23">
        <v>0</v>
      </c>
      <c r="F87" s="40">
        <f t="shared" si="24"/>
        <v>1184</v>
      </c>
      <c r="G87" s="23">
        <f t="shared" si="25"/>
        <v>2322451.0299999998</v>
      </c>
      <c r="H87" s="41">
        <f t="shared" si="26"/>
        <v>55.178172619656266</v>
      </c>
      <c r="I87" s="23">
        <f t="shared" si="27"/>
        <v>1496635.12</v>
      </c>
      <c r="J87" s="10"/>
    </row>
    <row r="88" spans="2:10" x14ac:dyDescent="0.3">
      <c r="B88" s="97">
        <v>32</v>
      </c>
      <c r="C88" s="67" t="s">
        <v>84</v>
      </c>
      <c r="D88" s="23">
        <v>0</v>
      </c>
      <c r="E88" s="23">
        <v>0</v>
      </c>
      <c r="F88" s="40">
        <f t="shared" si="24"/>
        <v>0</v>
      </c>
      <c r="G88" s="23">
        <f t="shared" si="25"/>
        <v>2322451.0299999998</v>
      </c>
      <c r="H88" s="41">
        <f t="shared" si="26"/>
        <v>55.178172619656266</v>
      </c>
      <c r="I88" s="23">
        <f t="shared" si="27"/>
        <v>1496635.12</v>
      </c>
      <c r="J88" s="10"/>
    </row>
    <row r="89" spans="2:10" x14ac:dyDescent="0.3">
      <c r="B89" s="97">
        <v>33</v>
      </c>
      <c r="C89" s="67" t="s">
        <v>85</v>
      </c>
      <c r="D89" s="94">
        <v>0</v>
      </c>
      <c r="E89" s="95">
        <v>-21110</v>
      </c>
      <c r="F89" s="96">
        <f t="shared" si="24"/>
        <v>-21110</v>
      </c>
      <c r="G89" s="95">
        <f>+G88+F89</f>
        <v>2301341.0299999998</v>
      </c>
      <c r="H89" s="41">
        <f t="shared" si="26"/>
        <v>53.767675183247043</v>
      </c>
      <c r="I89" s="23">
        <f t="shared" si="27"/>
        <v>1496635.12</v>
      </c>
      <c r="J89" s="10"/>
    </row>
    <row r="90" spans="2:10" x14ac:dyDescent="0.3">
      <c r="B90" s="33">
        <v>34</v>
      </c>
      <c r="C90" s="67" t="s">
        <v>87</v>
      </c>
      <c r="D90" s="23">
        <v>0</v>
      </c>
      <c r="E90" s="23">
        <v>0</v>
      </c>
      <c r="F90" s="40">
        <v>0</v>
      </c>
      <c r="G90" s="23">
        <f>+G89+F90</f>
        <v>2301341.0299999998</v>
      </c>
      <c r="H90" s="41">
        <f t="shared" si="26"/>
        <v>53.767675183247043</v>
      </c>
      <c r="I90" s="23">
        <f t="shared" si="27"/>
        <v>1496635.12</v>
      </c>
      <c r="J90" s="10"/>
    </row>
    <row r="91" spans="2:10" x14ac:dyDescent="0.3">
      <c r="B91" s="33">
        <v>35</v>
      </c>
      <c r="C91" s="67" t="s">
        <v>86</v>
      </c>
      <c r="D91" s="23">
        <v>0</v>
      </c>
      <c r="E91" s="23">
        <v>-41</v>
      </c>
      <c r="F91" s="40">
        <f>+E91+D91</f>
        <v>-41</v>
      </c>
      <c r="G91" s="40">
        <f>+G90+F91</f>
        <v>2301300.0299999998</v>
      </c>
      <c r="H91" s="41">
        <f t="shared" si="26"/>
        <v>53.764935704569041</v>
      </c>
      <c r="I91" s="23">
        <f t="shared" si="27"/>
        <v>1496635.12</v>
      </c>
      <c r="J91" s="10"/>
    </row>
    <row r="92" spans="2:10" hidden="1" x14ac:dyDescent="0.3">
      <c r="B92" s="97">
        <v>36</v>
      </c>
      <c r="C92" s="67"/>
      <c r="D92" s="23"/>
      <c r="E92" s="23"/>
      <c r="F92" s="40"/>
      <c r="G92" s="40"/>
      <c r="H92" s="41"/>
      <c r="I92" s="23"/>
      <c r="J92" s="10"/>
    </row>
    <row r="93" spans="2:10" hidden="1" x14ac:dyDescent="0.3">
      <c r="B93" s="33">
        <v>37</v>
      </c>
      <c r="C93" s="67"/>
      <c r="D93" s="23"/>
      <c r="E93" s="23"/>
      <c r="F93" s="40"/>
      <c r="G93" s="40"/>
      <c r="H93" s="41"/>
      <c r="I93" s="23"/>
      <c r="J93" s="10"/>
    </row>
    <row r="94" spans="2:10" hidden="1" x14ac:dyDescent="0.3">
      <c r="B94" s="97">
        <v>38</v>
      </c>
      <c r="C94" s="67"/>
      <c r="D94" s="23"/>
      <c r="E94" s="23"/>
      <c r="F94" s="40"/>
      <c r="G94" s="40"/>
      <c r="H94" s="41"/>
      <c r="I94" s="23"/>
      <c r="J94" s="10"/>
    </row>
    <row r="95" spans="2:10" hidden="1" x14ac:dyDescent="0.3">
      <c r="B95" s="97">
        <v>39</v>
      </c>
      <c r="C95" s="67"/>
      <c r="D95" s="23"/>
      <c r="E95" s="23"/>
      <c r="F95" s="40"/>
      <c r="G95" s="40"/>
      <c r="H95" s="41"/>
      <c r="I95" s="23"/>
      <c r="J95" s="10"/>
    </row>
    <row r="96" spans="2:10" hidden="1" x14ac:dyDescent="0.3">
      <c r="B96" s="33">
        <v>40</v>
      </c>
      <c r="C96" s="67"/>
      <c r="D96" s="23"/>
      <c r="E96" s="23"/>
      <c r="F96" s="40"/>
      <c r="G96" s="40"/>
      <c r="H96" s="41"/>
      <c r="I96" s="23"/>
      <c r="J96" s="10"/>
    </row>
    <row r="97" spans="2:10" x14ac:dyDescent="0.3">
      <c r="B97" s="5"/>
      <c r="C97" s="5"/>
      <c r="D97" s="6"/>
      <c r="E97" s="6"/>
      <c r="F97" s="6"/>
      <c r="G97" s="6"/>
      <c r="H97" s="6"/>
      <c r="I97" s="6"/>
      <c r="J97" s="6"/>
    </row>
    <row r="98" spans="2:10" x14ac:dyDescent="0.3">
      <c r="B98" s="8" t="s">
        <v>27</v>
      </c>
      <c r="C98" s="5"/>
      <c r="D98" s="6"/>
      <c r="E98" s="6"/>
      <c r="F98" s="6"/>
      <c r="G98" s="6"/>
      <c r="H98" s="6"/>
      <c r="I98" s="6"/>
      <c r="J98" s="6"/>
    </row>
    <row r="99" spans="2:10" x14ac:dyDescent="0.3">
      <c r="B99" s="9" t="s">
        <v>28</v>
      </c>
      <c r="C99" s="5"/>
      <c r="D99" s="6"/>
      <c r="E99" s="6"/>
      <c r="F99" s="6"/>
      <c r="G99" s="6"/>
      <c r="H99" s="6"/>
      <c r="I99" s="6"/>
      <c r="J99" s="6"/>
    </row>
    <row r="100" spans="2:10" x14ac:dyDescent="0.3">
      <c r="B100" s="9" t="s">
        <v>29</v>
      </c>
      <c r="C100" s="5"/>
      <c r="D100" s="6"/>
      <c r="E100" s="6"/>
      <c r="F100" s="6"/>
      <c r="G100" s="6"/>
      <c r="H100" s="6"/>
      <c r="I100" s="6"/>
      <c r="J100" s="6"/>
    </row>
    <row r="101" spans="2:10" x14ac:dyDescent="0.3">
      <c r="B101" s="9" t="s">
        <v>30</v>
      </c>
      <c r="C101" s="5"/>
      <c r="D101" s="6"/>
      <c r="E101" s="6"/>
      <c r="F101" s="6"/>
      <c r="G101" s="6"/>
      <c r="H101" s="6"/>
      <c r="I101" s="6"/>
      <c r="J101" s="6"/>
    </row>
    <row r="102" spans="2:10" x14ac:dyDescent="0.3">
      <c r="B102" s="10"/>
      <c r="C102" s="10"/>
      <c r="D102" s="35"/>
      <c r="E102" s="35"/>
      <c r="F102" s="35"/>
      <c r="G102" s="35"/>
      <c r="H102" s="35"/>
      <c r="I102" s="35"/>
      <c r="J102" s="35"/>
    </row>
    <row r="103" spans="2:10" x14ac:dyDescent="0.3">
      <c r="B103" s="10"/>
      <c r="C103" s="10"/>
      <c r="D103" s="35"/>
      <c r="E103" s="35"/>
      <c r="F103" s="35"/>
      <c r="G103" s="35"/>
      <c r="H103" s="35"/>
      <c r="I103" s="35"/>
      <c r="J103" s="35"/>
    </row>
    <row r="104" spans="2:10" ht="18" x14ac:dyDescent="0.35">
      <c r="B104" s="10"/>
      <c r="C104" s="10"/>
      <c r="D104" s="158" t="s">
        <v>33</v>
      </c>
      <c r="E104" s="158"/>
      <c r="F104" s="158"/>
      <c r="G104" s="158"/>
      <c r="H104" s="158"/>
      <c r="I104" s="158"/>
      <c r="J104" s="35"/>
    </row>
    <row r="105" spans="2:10" s="28" customFormat="1" ht="18" x14ac:dyDescent="0.35">
      <c r="B105" s="24"/>
      <c r="C105" s="24"/>
      <c r="D105" s="173" t="s">
        <v>42</v>
      </c>
      <c r="E105" s="173"/>
      <c r="F105" s="173"/>
      <c r="G105" s="173"/>
      <c r="H105" s="173"/>
      <c r="I105" s="173"/>
      <c r="J105" s="45"/>
    </row>
    <row r="106" spans="2:10" ht="15.9" customHeight="1" x14ac:dyDescent="0.3">
      <c r="B106" s="132" t="s">
        <v>89</v>
      </c>
      <c r="C106" s="132"/>
      <c r="D106" s="132"/>
      <c r="E106" s="132"/>
      <c r="F106" s="132"/>
      <c r="G106" s="132"/>
      <c r="H106" s="132"/>
      <c r="I106" s="132"/>
      <c r="J106" s="132"/>
    </row>
    <row r="107" spans="2:10" ht="14.4" customHeight="1" x14ac:dyDescent="0.3">
      <c r="B107" s="14"/>
      <c r="C107" s="15"/>
      <c r="D107" s="152" t="s">
        <v>6</v>
      </c>
      <c r="E107" s="153"/>
      <c r="F107" s="153"/>
      <c r="G107" s="154"/>
      <c r="H107" s="143" t="s">
        <v>7</v>
      </c>
      <c r="I107" s="144"/>
      <c r="J107" s="46"/>
    </row>
    <row r="108" spans="2:10" x14ac:dyDescent="0.3">
      <c r="B108" s="12"/>
      <c r="C108" s="13"/>
      <c r="D108" s="155" t="s">
        <v>9</v>
      </c>
      <c r="E108" s="156"/>
      <c r="F108" s="156"/>
      <c r="G108" s="157"/>
      <c r="H108" s="145"/>
      <c r="I108" s="146"/>
      <c r="J108" s="46"/>
    </row>
    <row r="109" spans="2:10" ht="14.4" customHeight="1" x14ac:dyDescent="0.3">
      <c r="B109" s="111" t="s">
        <v>10</v>
      </c>
      <c r="C109" s="113" t="s">
        <v>11</v>
      </c>
      <c r="D109" s="44" t="s">
        <v>12</v>
      </c>
      <c r="E109" s="44" t="s">
        <v>13</v>
      </c>
      <c r="F109" s="44" t="s">
        <v>14</v>
      </c>
      <c r="G109" s="44" t="s">
        <v>15</v>
      </c>
      <c r="H109" s="139" t="s">
        <v>16</v>
      </c>
      <c r="I109" s="141" t="s">
        <v>17</v>
      </c>
      <c r="J109" s="47"/>
    </row>
    <row r="110" spans="2:10" ht="38.4" customHeight="1" x14ac:dyDescent="0.3">
      <c r="B110" s="112"/>
      <c r="C110" s="114"/>
      <c r="D110" s="165" t="s">
        <v>20</v>
      </c>
      <c r="E110" s="166"/>
      <c r="F110" s="166"/>
      <c r="G110" s="167"/>
      <c r="H110" s="140"/>
      <c r="I110" s="142"/>
      <c r="J110" s="47"/>
    </row>
    <row r="111" spans="2:10" x14ac:dyDescent="0.3">
      <c r="B111" s="33">
        <v>4</v>
      </c>
      <c r="C111" s="31" t="s">
        <v>21</v>
      </c>
      <c r="D111" s="18">
        <v>0</v>
      </c>
      <c r="E111" s="18">
        <v>0</v>
      </c>
      <c r="F111" s="36">
        <f>+D111+E111</f>
        <v>0</v>
      </c>
      <c r="G111" s="18">
        <f>+F111</f>
        <v>0</v>
      </c>
      <c r="H111" s="41" t="e">
        <f t="shared" ref="H111:H118" si="28">((G111-I111)/I111)*100</f>
        <v>#DIV/0!</v>
      </c>
      <c r="I111" s="18">
        <v>0</v>
      </c>
      <c r="J111" s="38"/>
    </row>
    <row r="112" spans="2:10" x14ac:dyDescent="0.3">
      <c r="B112" s="33">
        <v>5</v>
      </c>
      <c r="C112" s="31" t="s">
        <v>22</v>
      </c>
      <c r="D112" s="23">
        <v>9008.51</v>
      </c>
      <c r="E112" s="23">
        <v>0</v>
      </c>
      <c r="F112" s="40">
        <f>+E112+D112</f>
        <v>9008.51</v>
      </c>
      <c r="G112" s="23">
        <f>+G111+F112</f>
        <v>9008.51</v>
      </c>
      <c r="H112" s="41">
        <f t="shared" si="28"/>
        <v>-95.944662177927142</v>
      </c>
      <c r="I112" s="23">
        <v>222139.57</v>
      </c>
      <c r="J112" s="38"/>
    </row>
    <row r="113" spans="2:10" x14ac:dyDescent="0.3">
      <c r="B113" s="33">
        <v>6</v>
      </c>
      <c r="C113" s="31" t="s">
        <v>23</v>
      </c>
      <c r="D113" s="23">
        <v>4186.0200000000004</v>
      </c>
      <c r="E113" s="23">
        <v>0</v>
      </c>
      <c r="F113" s="40">
        <f>+E113+D113</f>
        <v>4186.0200000000004</v>
      </c>
      <c r="G113" s="23">
        <f>+G112+F113</f>
        <v>13194.53</v>
      </c>
      <c r="H113" s="41">
        <f t="shared" si="28"/>
        <v>-94.74250485394262</v>
      </c>
      <c r="I113" s="23">
        <f>+I112+28826.52</f>
        <v>250966.09</v>
      </c>
      <c r="J113" s="38"/>
    </row>
    <row r="114" spans="2:10" x14ac:dyDescent="0.3">
      <c r="B114" s="33">
        <v>7</v>
      </c>
      <c r="C114" s="31" t="s">
        <v>24</v>
      </c>
      <c r="D114" s="23">
        <v>2176.52</v>
      </c>
      <c r="E114" s="23">
        <v>2600</v>
      </c>
      <c r="F114" s="40">
        <f t="shared" ref="F114:F126" si="29">+E114+D114</f>
        <v>4776.5200000000004</v>
      </c>
      <c r="G114" s="23">
        <f>+G113+F114</f>
        <v>17971.050000000003</v>
      </c>
      <c r="H114" s="41">
        <f t="shared" si="28"/>
        <v>-94.113480936244471</v>
      </c>
      <c r="I114" s="23">
        <f>+I113+54325.54</f>
        <v>305291.63</v>
      </c>
      <c r="J114" s="38"/>
    </row>
    <row r="115" spans="2:10" x14ac:dyDescent="0.3">
      <c r="B115" s="33">
        <v>8</v>
      </c>
      <c r="C115" s="31" t="s">
        <v>25</v>
      </c>
      <c r="D115" s="23">
        <v>0</v>
      </c>
      <c r="E115" s="23">
        <v>0</v>
      </c>
      <c r="F115" s="40">
        <f t="shared" si="29"/>
        <v>0</v>
      </c>
      <c r="G115" s="23">
        <f t="shared" ref="G115:G126" si="30">+G114+F115</f>
        <v>17971.050000000003</v>
      </c>
      <c r="H115" s="41">
        <f t="shared" si="28"/>
        <v>-94.678447939946793</v>
      </c>
      <c r="I115" s="23">
        <v>337703.17</v>
      </c>
      <c r="J115" s="38"/>
    </row>
    <row r="116" spans="2:10" x14ac:dyDescent="0.3">
      <c r="B116" s="33">
        <v>9</v>
      </c>
      <c r="C116" s="31" t="s">
        <v>26</v>
      </c>
      <c r="D116" s="23">
        <v>0</v>
      </c>
      <c r="E116" s="23">
        <v>0</v>
      </c>
      <c r="F116" s="40">
        <f t="shared" si="29"/>
        <v>0</v>
      </c>
      <c r="G116" s="23">
        <f t="shared" si="30"/>
        <v>17971.050000000003</v>
      </c>
      <c r="H116" s="41">
        <f t="shared" si="28"/>
        <v>-95.346580760123857</v>
      </c>
      <c r="I116" s="23">
        <f>+I115+48487.05</f>
        <v>386190.22</v>
      </c>
      <c r="J116" s="38"/>
    </row>
    <row r="117" spans="2:10" x14ac:dyDescent="0.3">
      <c r="B117" s="33">
        <v>10</v>
      </c>
      <c r="C117" s="31" t="s">
        <v>55</v>
      </c>
      <c r="D117" s="23">
        <v>16095</v>
      </c>
      <c r="E117" s="23">
        <v>0</v>
      </c>
      <c r="F117" s="40">
        <f t="shared" si="29"/>
        <v>16095</v>
      </c>
      <c r="G117" s="23">
        <f t="shared" si="30"/>
        <v>34066.050000000003</v>
      </c>
      <c r="H117" s="41">
        <f t="shared" si="28"/>
        <v>-91.692418805560038</v>
      </c>
      <c r="I117" s="23">
        <f>+I116+23869.57</f>
        <v>410059.79</v>
      </c>
      <c r="J117" s="38"/>
    </row>
    <row r="118" spans="2:10" x14ac:dyDescent="0.3">
      <c r="B118" s="33">
        <v>11</v>
      </c>
      <c r="C118" s="31" t="s">
        <v>56</v>
      </c>
      <c r="D118" s="23">
        <v>2742</v>
      </c>
      <c r="E118" s="23">
        <v>0</v>
      </c>
      <c r="F118" s="40">
        <f t="shared" si="29"/>
        <v>2742</v>
      </c>
      <c r="G118" s="23">
        <f t="shared" si="30"/>
        <v>36808.050000000003</v>
      </c>
      <c r="H118" s="41">
        <f t="shared" si="28"/>
        <v>-91.7296582460271</v>
      </c>
      <c r="I118" s="23">
        <f>+I117+35001.02</f>
        <v>445060.81</v>
      </c>
      <c r="J118" s="38"/>
    </row>
    <row r="119" spans="2:10" x14ac:dyDescent="0.3">
      <c r="B119" s="33">
        <v>12</v>
      </c>
      <c r="C119" s="31" t="s">
        <v>71</v>
      </c>
      <c r="D119" s="23">
        <v>39631</v>
      </c>
      <c r="E119" s="23">
        <v>0</v>
      </c>
      <c r="F119" s="40">
        <f t="shared" si="29"/>
        <v>39631</v>
      </c>
      <c r="G119" s="23">
        <f>+G118+F119</f>
        <v>76439.05</v>
      </c>
      <c r="H119" s="41">
        <f>((G119-I119)/I119)*100</f>
        <v>-84.770818693028332</v>
      </c>
      <c r="I119" s="23">
        <f>+I118+56864.07</f>
        <v>501924.88</v>
      </c>
      <c r="J119" s="38"/>
    </row>
    <row r="120" spans="2:10" x14ac:dyDescent="0.3">
      <c r="B120" s="33">
        <v>13</v>
      </c>
      <c r="C120" s="31" t="s">
        <v>57</v>
      </c>
      <c r="D120" s="23">
        <v>24486.5</v>
      </c>
      <c r="E120" s="23">
        <v>0</v>
      </c>
      <c r="F120" s="40">
        <f t="shared" si="29"/>
        <v>24486.5</v>
      </c>
      <c r="G120" s="23">
        <f t="shared" si="30"/>
        <v>100925.55</v>
      </c>
      <c r="H120" s="41">
        <f>((G120-I120)/I120)*100</f>
        <v>-80.12959274126608</v>
      </c>
      <c r="I120" s="23">
        <v>507918.88</v>
      </c>
      <c r="J120" s="38"/>
    </row>
    <row r="121" spans="2:10" x14ac:dyDescent="0.3">
      <c r="B121" s="33">
        <v>14</v>
      </c>
      <c r="C121" s="49" t="s">
        <v>58</v>
      </c>
      <c r="D121" s="23">
        <v>4100</v>
      </c>
      <c r="E121" s="23">
        <v>0</v>
      </c>
      <c r="F121" s="40">
        <f t="shared" si="29"/>
        <v>4100</v>
      </c>
      <c r="G121" s="23">
        <f t="shared" si="30"/>
        <v>105025.55</v>
      </c>
      <c r="H121" s="41">
        <f>((G121-I121)/I121)*100</f>
        <v>-80.934825982661849</v>
      </c>
      <c r="I121" s="23">
        <f>+I120+42957.55</f>
        <v>550876.43000000005</v>
      </c>
      <c r="J121" s="38"/>
    </row>
    <row r="122" spans="2:10" x14ac:dyDescent="0.3">
      <c r="B122" s="33">
        <v>15</v>
      </c>
      <c r="C122" s="31" t="s">
        <v>59</v>
      </c>
      <c r="D122" s="23">
        <v>31320.5</v>
      </c>
      <c r="E122" s="23">
        <v>0</v>
      </c>
      <c r="F122" s="40">
        <f t="shared" si="29"/>
        <v>31320.5</v>
      </c>
      <c r="G122" s="23">
        <f t="shared" si="30"/>
        <v>136346.04999999999</v>
      </c>
      <c r="H122" s="41">
        <f>((G122-I122)/I122)*100</f>
        <v>-75.797809665834308</v>
      </c>
      <c r="I122" s="23">
        <f>+I121+12486.01</f>
        <v>563362.44000000006</v>
      </c>
      <c r="J122" s="38"/>
    </row>
    <row r="123" spans="2:10" x14ac:dyDescent="0.3">
      <c r="B123" s="33">
        <v>16</v>
      </c>
      <c r="C123" s="31" t="s">
        <v>60</v>
      </c>
      <c r="D123" s="23">
        <v>34675.5</v>
      </c>
      <c r="E123" s="23">
        <v>0</v>
      </c>
      <c r="F123" s="40">
        <f t="shared" si="29"/>
        <v>34675.5</v>
      </c>
      <c r="G123" s="23">
        <f t="shared" si="30"/>
        <v>171021.55</v>
      </c>
      <c r="H123" s="41">
        <f t="shared" ref="H123:H135" si="31">((G123-I123)/I123)*100</f>
        <v>-69.718368863611971</v>
      </c>
      <c r="I123" s="23">
        <v>564769.93999999994</v>
      </c>
      <c r="J123" s="38"/>
    </row>
    <row r="124" spans="2:10" x14ac:dyDescent="0.3">
      <c r="B124" s="33">
        <v>17</v>
      </c>
      <c r="C124" s="31" t="s">
        <v>61</v>
      </c>
      <c r="D124" s="23">
        <v>38286.5</v>
      </c>
      <c r="E124" s="23">
        <v>0</v>
      </c>
      <c r="F124" s="40">
        <f t="shared" si="29"/>
        <v>38286.5</v>
      </c>
      <c r="G124" s="23">
        <f t="shared" si="30"/>
        <v>209308.05</v>
      </c>
      <c r="H124" s="41">
        <f t="shared" si="31"/>
        <v>-64.410834503227605</v>
      </c>
      <c r="I124" s="23">
        <v>588122.94999999995</v>
      </c>
      <c r="J124" s="38"/>
    </row>
    <row r="125" spans="2:10" x14ac:dyDescent="0.3">
      <c r="B125" s="33">
        <v>18</v>
      </c>
      <c r="C125" s="31" t="s">
        <v>62</v>
      </c>
      <c r="D125" s="23">
        <v>26117</v>
      </c>
      <c r="E125" s="23">
        <v>0</v>
      </c>
      <c r="F125" s="40">
        <f t="shared" si="29"/>
        <v>26117</v>
      </c>
      <c r="G125" s="23">
        <f t="shared" si="30"/>
        <v>235425.05</v>
      </c>
      <c r="H125" s="41">
        <f t="shared" si="31"/>
        <v>-63.542749537495915</v>
      </c>
      <c r="I125" s="23">
        <f>+I124+57633.51</f>
        <v>645756.46</v>
      </c>
      <c r="J125" s="38"/>
    </row>
    <row r="126" spans="2:10" x14ac:dyDescent="0.3">
      <c r="B126" s="33">
        <v>19</v>
      </c>
      <c r="C126" s="31" t="s">
        <v>63</v>
      </c>
      <c r="D126" s="23">
        <v>28927</v>
      </c>
      <c r="E126" s="23">
        <v>0</v>
      </c>
      <c r="F126" s="40">
        <f t="shared" si="29"/>
        <v>28927</v>
      </c>
      <c r="G126" s="23">
        <f t="shared" si="30"/>
        <v>264352.05</v>
      </c>
      <c r="H126" s="41">
        <f t="shared" si="31"/>
        <v>-60.806828072193042</v>
      </c>
      <c r="I126" s="23">
        <f>+I125+28728.5</f>
        <v>674484.96</v>
      </c>
      <c r="J126" s="38"/>
    </row>
    <row r="127" spans="2:10" x14ac:dyDescent="0.3">
      <c r="B127" s="33">
        <v>20</v>
      </c>
      <c r="C127" s="31" t="s">
        <v>72</v>
      </c>
      <c r="D127" s="23">
        <v>7051.5</v>
      </c>
      <c r="E127" s="23">
        <v>0</v>
      </c>
      <c r="F127" s="40">
        <f t="shared" ref="F127:F135" si="32">+E127+D127</f>
        <v>7051.5</v>
      </c>
      <c r="G127" s="23">
        <f t="shared" ref="G127:G135" si="33">+G126+F127</f>
        <v>271403.55</v>
      </c>
      <c r="H127" s="41">
        <f t="shared" si="31"/>
        <v>-62.135459862173207</v>
      </c>
      <c r="I127" s="23">
        <f>+I126+42290.02</f>
        <v>716774.98</v>
      </c>
      <c r="J127" s="38"/>
    </row>
    <row r="128" spans="2:10" x14ac:dyDescent="0.3">
      <c r="B128" s="33">
        <v>21</v>
      </c>
      <c r="C128" s="31" t="s">
        <v>65</v>
      </c>
      <c r="D128" s="23">
        <v>0</v>
      </c>
      <c r="E128" s="23">
        <v>0</v>
      </c>
      <c r="F128" s="40">
        <f t="shared" si="32"/>
        <v>0</v>
      </c>
      <c r="G128" s="23">
        <f t="shared" si="33"/>
        <v>271403.55</v>
      </c>
      <c r="H128" s="41">
        <f t="shared" si="31"/>
        <v>-62.317883840023434</v>
      </c>
      <c r="I128" s="23">
        <f>+I127+3470</f>
        <v>720244.98</v>
      </c>
      <c r="J128" s="38"/>
    </row>
    <row r="129" spans="2:10" x14ac:dyDescent="0.3">
      <c r="B129" s="33">
        <v>22</v>
      </c>
      <c r="C129" s="31" t="s">
        <v>66</v>
      </c>
      <c r="D129" s="23">
        <v>0</v>
      </c>
      <c r="E129" s="23">
        <v>0</v>
      </c>
      <c r="F129" s="40">
        <f t="shared" si="32"/>
        <v>0</v>
      </c>
      <c r="G129" s="23">
        <f t="shared" si="33"/>
        <v>271403.55</v>
      </c>
      <c r="H129" s="41">
        <f t="shared" si="31"/>
        <v>-62.317883840023434</v>
      </c>
      <c r="I129" s="23">
        <f t="shared" ref="I129:I133" si="34">+I128+0</f>
        <v>720244.98</v>
      </c>
      <c r="J129" s="38"/>
    </row>
    <row r="130" spans="2:10" x14ac:dyDescent="0.3">
      <c r="B130" s="33">
        <v>23</v>
      </c>
      <c r="C130" s="31" t="s">
        <v>76</v>
      </c>
      <c r="D130" s="23">
        <v>23292.5</v>
      </c>
      <c r="E130" s="23">
        <v>0</v>
      </c>
      <c r="F130" s="40">
        <f t="shared" si="32"/>
        <v>23292.5</v>
      </c>
      <c r="G130" s="23">
        <f t="shared" si="33"/>
        <v>294696.05</v>
      </c>
      <c r="H130" s="41">
        <f t="shared" si="31"/>
        <v>-59.083914753560663</v>
      </c>
      <c r="I130" s="23">
        <f t="shared" si="34"/>
        <v>720244.98</v>
      </c>
      <c r="J130" s="38"/>
    </row>
    <row r="131" spans="2:10" x14ac:dyDescent="0.3">
      <c r="B131" s="33">
        <v>24</v>
      </c>
      <c r="C131" s="31" t="s">
        <v>68</v>
      </c>
      <c r="D131" s="23">
        <v>0</v>
      </c>
      <c r="E131" s="23">
        <v>0</v>
      </c>
      <c r="F131" s="40">
        <f t="shared" si="32"/>
        <v>0</v>
      </c>
      <c r="G131" s="23">
        <f t="shared" si="33"/>
        <v>294696.05</v>
      </c>
      <c r="H131" s="41">
        <f t="shared" si="31"/>
        <v>-59.083914753560663</v>
      </c>
      <c r="I131" s="23">
        <f t="shared" si="34"/>
        <v>720244.98</v>
      </c>
      <c r="J131" s="38"/>
    </row>
    <row r="132" spans="2:10" x14ac:dyDescent="0.3">
      <c r="B132" s="33">
        <v>25</v>
      </c>
      <c r="C132" s="67" t="s">
        <v>69</v>
      </c>
      <c r="D132" s="23">
        <v>0</v>
      </c>
      <c r="E132" s="23">
        <v>0</v>
      </c>
      <c r="F132" s="40">
        <f t="shared" si="32"/>
        <v>0</v>
      </c>
      <c r="G132" s="23">
        <f t="shared" si="33"/>
        <v>294696.05</v>
      </c>
      <c r="H132" s="41">
        <f t="shared" si="31"/>
        <v>-59.083914753560663</v>
      </c>
      <c r="I132" s="23">
        <f t="shared" si="34"/>
        <v>720244.98</v>
      </c>
      <c r="J132" s="38"/>
    </row>
    <row r="133" spans="2:10" x14ac:dyDescent="0.3">
      <c r="B133" s="97">
        <v>26</v>
      </c>
      <c r="C133" s="93" t="s">
        <v>70</v>
      </c>
      <c r="D133" s="94">
        <v>0</v>
      </c>
      <c r="E133" s="95">
        <v>0</v>
      </c>
      <c r="F133" s="96">
        <f t="shared" si="32"/>
        <v>0</v>
      </c>
      <c r="G133" s="95">
        <f t="shared" si="33"/>
        <v>294696.05</v>
      </c>
      <c r="H133" s="41">
        <f t="shared" si="31"/>
        <v>-59.083914753560663</v>
      </c>
      <c r="I133" s="23">
        <f t="shared" si="34"/>
        <v>720244.98</v>
      </c>
      <c r="J133" s="19"/>
    </row>
    <row r="134" spans="2:10" x14ac:dyDescent="0.3">
      <c r="B134" s="97">
        <v>27</v>
      </c>
      <c r="C134" s="93" t="s">
        <v>79</v>
      </c>
      <c r="D134" s="94">
        <v>0</v>
      </c>
      <c r="E134" s="95">
        <v>0</v>
      </c>
      <c r="F134" s="96">
        <f t="shared" si="32"/>
        <v>0</v>
      </c>
      <c r="G134" s="95">
        <f t="shared" si="33"/>
        <v>294696.05</v>
      </c>
      <c r="H134" s="41">
        <f t="shared" si="31"/>
        <v>-59.083914753560663</v>
      </c>
      <c r="I134" s="23">
        <f>+I133+0</f>
        <v>720244.98</v>
      </c>
      <c r="J134" s="19"/>
    </row>
    <row r="135" spans="2:10" x14ac:dyDescent="0.3">
      <c r="B135" s="97">
        <v>28</v>
      </c>
      <c r="C135" s="93" t="s">
        <v>80</v>
      </c>
      <c r="D135" s="94">
        <v>0</v>
      </c>
      <c r="E135" s="95">
        <v>14958</v>
      </c>
      <c r="F135" s="96">
        <f t="shared" si="32"/>
        <v>14958</v>
      </c>
      <c r="G135" s="95">
        <f t="shared" si="33"/>
        <v>309654.05</v>
      </c>
      <c r="H135" s="41">
        <f t="shared" si="31"/>
        <v>-57.007121382505154</v>
      </c>
      <c r="I135" s="23">
        <f>+I134+0</f>
        <v>720244.98</v>
      </c>
      <c r="J135" s="19"/>
    </row>
    <row r="136" spans="2:10" x14ac:dyDescent="0.3">
      <c r="B136" s="97">
        <v>29</v>
      </c>
      <c r="C136" s="67" t="s">
        <v>81</v>
      </c>
      <c r="D136" s="23">
        <v>0</v>
      </c>
      <c r="E136" s="23">
        <v>0</v>
      </c>
      <c r="F136" s="96">
        <f t="shared" ref="F136:F140" si="35">+E136+D136</f>
        <v>0</v>
      </c>
      <c r="G136" s="95">
        <f t="shared" ref="G136:G139" si="36">+G135+F136</f>
        <v>309654.05</v>
      </c>
      <c r="H136" s="41">
        <f t="shared" ref="H136:H142" si="37">((G136-I136)/I136)*100</f>
        <v>-57.007121382505154</v>
      </c>
      <c r="I136" s="23">
        <f t="shared" ref="I136:I142" si="38">+I135+0</f>
        <v>720244.98</v>
      </c>
      <c r="J136" s="10"/>
    </row>
    <row r="137" spans="2:10" x14ac:dyDescent="0.3">
      <c r="B137" s="97">
        <v>30</v>
      </c>
      <c r="C137" s="67" t="s">
        <v>82</v>
      </c>
      <c r="D137" s="94">
        <v>0</v>
      </c>
      <c r="E137" s="95">
        <v>0</v>
      </c>
      <c r="F137" s="96">
        <f t="shared" si="35"/>
        <v>0</v>
      </c>
      <c r="G137" s="95">
        <f t="shared" si="36"/>
        <v>309654.05</v>
      </c>
      <c r="H137" s="41">
        <f t="shared" si="37"/>
        <v>-57.007121382505154</v>
      </c>
      <c r="I137" s="23">
        <f t="shared" si="38"/>
        <v>720244.98</v>
      </c>
      <c r="J137" s="10"/>
    </row>
    <row r="138" spans="2:10" x14ac:dyDescent="0.3">
      <c r="B138" s="97">
        <v>31</v>
      </c>
      <c r="C138" s="67" t="s">
        <v>83</v>
      </c>
      <c r="D138" s="94">
        <v>0</v>
      </c>
      <c r="E138" s="95">
        <v>0</v>
      </c>
      <c r="F138" s="96">
        <f t="shared" si="35"/>
        <v>0</v>
      </c>
      <c r="G138" s="95">
        <f t="shared" si="36"/>
        <v>309654.05</v>
      </c>
      <c r="H138" s="41">
        <f t="shared" si="37"/>
        <v>-57.007121382505154</v>
      </c>
      <c r="I138" s="23">
        <f t="shared" si="38"/>
        <v>720244.98</v>
      </c>
      <c r="J138" s="10"/>
    </row>
    <row r="139" spans="2:10" x14ac:dyDescent="0.3">
      <c r="B139" s="97">
        <v>32</v>
      </c>
      <c r="C139" s="67" t="s">
        <v>84</v>
      </c>
      <c r="D139" s="94">
        <v>0</v>
      </c>
      <c r="E139" s="95">
        <v>0</v>
      </c>
      <c r="F139" s="96">
        <f t="shared" si="35"/>
        <v>0</v>
      </c>
      <c r="G139" s="95">
        <f t="shared" si="36"/>
        <v>309654.05</v>
      </c>
      <c r="H139" s="41">
        <f t="shared" si="37"/>
        <v>-57.007121382505154</v>
      </c>
      <c r="I139" s="23">
        <f t="shared" si="38"/>
        <v>720244.98</v>
      </c>
      <c r="J139" s="10"/>
    </row>
    <row r="140" spans="2:10" x14ac:dyDescent="0.3">
      <c r="B140" s="97">
        <v>33</v>
      </c>
      <c r="C140" s="67" t="s">
        <v>85</v>
      </c>
      <c r="D140" s="94">
        <v>0</v>
      </c>
      <c r="E140" s="95">
        <v>0</v>
      </c>
      <c r="F140" s="96">
        <f t="shared" si="35"/>
        <v>0</v>
      </c>
      <c r="G140" s="95">
        <f>+G139+F140</f>
        <v>309654.05</v>
      </c>
      <c r="H140" s="41">
        <f t="shared" si="37"/>
        <v>-57.007121382505154</v>
      </c>
      <c r="I140" s="23">
        <f t="shared" si="38"/>
        <v>720244.98</v>
      </c>
      <c r="J140" s="10"/>
    </row>
    <row r="141" spans="2:10" x14ac:dyDescent="0.3">
      <c r="B141" s="33">
        <v>34</v>
      </c>
      <c r="C141" s="67" t="s">
        <v>87</v>
      </c>
      <c r="D141" s="23">
        <v>0</v>
      </c>
      <c r="E141" s="23">
        <v>0</v>
      </c>
      <c r="F141" s="40">
        <v>0</v>
      </c>
      <c r="G141" s="23">
        <f>+G140+F141</f>
        <v>309654.05</v>
      </c>
      <c r="H141" s="41">
        <f t="shared" si="37"/>
        <v>-57.007121382505154</v>
      </c>
      <c r="I141" s="23">
        <f t="shared" si="38"/>
        <v>720244.98</v>
      </c>
      <c r="J141" s="10"/>
    </row>
    <row r="142" spans="2:10" x14ac:dyDescent="0.3">
      <c r="B142" s="33">
        <v>35</v>
      </c>
      <c r="C142" s="67" t="s">
        <v>86</v>
      </c>
      <c r="D142" s="23">
        <v>0</v>
      </c>
      <c r="E142" s="23">
        <v>0</v>
      </c>
      <c r="F142" s="40">
        <f>+E142+D142</f>
        <v>0</v>
      </c>
      <c r="G142" s="40">
        <f>+G141+F142</f>
        <v>309654.05</v>
      </c>
      <c r="H142" s="41">
        <f t="shared" si="37"/>
        <v>-57.007121382505154</v>
      </c>
      <c r="I142" s="23">
        <f t="shared" si="38"/>
        <v>720244.98</v>
      </c>
      <c r="J142" s="10"/>
    </row>
    <row r="143" spans="2:10" hidden="1" x14ac:dyDescent="0.3">
      <c r="B143" s="97">
        <v>36</v>
      </c>
      <c r="C143" s="67"/>
      <c r="D143" s="94"/>
      <c r="E143" s="95"/>
      <c r="F143" s="96"/>
      <c r="G143" s="96"/>
      <c r="H143" s="41"/>
      <c r="I143" s="23"/>
      <c r="J143" s="10"/>
    </row>
    <row r="144" spans="2:10" hidden="1" x14ac:dyDescent="0.3">
      <c r="B144" s="97">
        <v>37</v>
      </c>
      <c r="C144" s="67"/>
      <c r="D144" s="94"/>
      <c r="E144" s="95"/>
      <c r="F144" s="96"/>
      <c r="G144" s="96"/>
      <c r="H144" s="41"/>
      <c r="I144" s="23"/>
      <c r="J144" s="10"/>
    </row>
    <row r="145" spans="2:10" hidden="1" x14ac:dyDescent="0.3">
      <c r="B145" s="97">
        <v>38</v>
      </c>
      <c r="C145" s="67"/>
      <c r="D145" s="94"/>
      <c r="E145" s="95"/>
      <c r="F145" s="96"/>
      <c r="G145" s="96"/>
      <c r="H145" s="41"/>
      <c r="I145" s="23"/>
      <c r="J145" s="10"/>
    </row>
    <row r="146" spans="2:10" hidden="1" x14ac:dyDescent="0.3">
      <c r="B146" s="97">
        <v>39</v>
      </c>
      <c r="C146" s="67"/>
      <c r="D146" s="94"/>
      <c r="E146" s="95"/>
      <c r="F146" s="96"/>
      <c r="G146" s="96"/>
      <c r="H146" s="41"/>
      <c r="I146" s="23"/>
      <c r="J146" s="10"/>
    </row>
    <row r="147" spans="2:10" hidden="1" x14ac:dyDescent="0.3">
      <c r="B147" s="97">
        <v>40</v>
      </c>
      <c r="C147" s="67"/>
      <c r="D147" s="94"/>
      <c r="E147" s="95"/>
      <c r="F147" s="96"/>
      <c r="G147" s="96"/>
      <c r="H147" s="41"/>
      <c r="I147" s="23"/>
      <c r="J147" s="10"/>
    </row>
    <row r="148" spans="2:10" x14ac:dyDescent="0.3">
      <c r="B148" s="5"/>
      <c r="C148" s="5"/>
      <c r="D148" s="6"/>
      <c r="E148" s="6"/>
      <c r="F148" s="6"/>
      <c r="G148" s="6"/>
      <c r="H148" s="6"/>
      <c r="I148" s="6"/>
      <c r="J148" s="6"/>
    </row>
    <row r="149" spans="2:10" x14ac:dyDescent="0.3">
      <c r="B149" s="8" t="s">
        <v>27</v>
      </c>
      <c r="C149" s="5"/>
      <c r="D149" s="6"/>
      <c r="E149" s="6"/>
      <c r="F149" s="6"/>
      <c r="G149" s="6"/>
      <c r="H149" s="6"/>
      <c r="I149" s="6"/>
      <c r="J149" s="6"/>
    </row>
    <row r="150" spans="2:10" x14ac:dyDescent="0.3">
      <c r="B150" s="9" t="s">
        <v>28</v>
      </c>
      <c r="C150" s="5"/>
      <c r="D150" s="6"/>
      <c r="E150" s="6"/>
      <c r="F150" s="6"/>
      <c r="G150" s="6"/>
      <c r="H150" s="6"/>
      <c r="I150" s="6"/>
      <c r="J150" s="6"/>
    </row>
    <row r="151" spans="2:10" x14ac:dyDescent="0.3">
      <c r="B151" s="9" t="s">
        <v>29</v>
      </c>
      <c r="C151" s="5"/>
      <c r="D151" s="6"/>
      <c r="E151" s="6"/>
      <c r="F151" s="6"/>
      <c r="G151" s="6"/>
      <c r="H151" s="6"/>
      <c r="I151" s="6"/>
      <c r="J151" s="6"/>
    </row>
    <row r="152" spans="2:10" x14ac:dyDescent="0.3">
      <c r="B152" s="9" t="s">
        <v>30</v>
      </c>
      <c r="C152" s="5"/>
      <c r="D152" s="6"/>
      <c r="E152" s="6"/>
      <c r="F152" s="6"/>
      <c r="G152" s="6"/>
      <c r="H152" s="6"/>
      <c r="I152" s="6"/>
      <c r="J152" s="6"/>
    </row>
    <row r="155" spans="2:10" ht="18" x14ac:dyDescent="0.35">
      <c r="B155" s="10"/>
      <c r="C155" s="10"/>
      <c r="D155" s="150" t="s">
        <v>34</v>
      </c>
      <c r="E155" s="150"/>
      <c r="F155" s="150"/>
      <c r="G155" s="150"/>
      <c r="H155" s="150"/>
      <c r="I155" s="150"/>
      <c r="J155" s="35"/>
    </row>
    <row r="156" spans="2:10" s="28" customFormat="1" ht="18" x14ac:dyDescent="0.35">
      <c r="B156" s="24"/>
      <c r="C156" s="24"/>
      <c r="D156" s="172" t="s">
        <v>42</v>
      </c>
      <c r="E156" s="172"/>
      <c r="F156" s="172"/>
      <c r="G156" s="172"/>
      <c r="H156" s="172"/>
      <c r="I156" s="172"/>
      <c r="J156" s="45"/>
    </row>
    <row r="157" spans="2:10" ht="15.9" customHeight="1" x14ac:dyDescent="0.3">
      <c r="B157" s="132" t="s">
        <v>88</v>
      </c>
      <c r="C157" s="132"/>
      <c r="D157" s="132"/>
      <c r="E157" s="132"/>
      <c r="F157" s="132"/>
      <c r="G157" s="132"/>
      <c r="H157" s="132"/>
      <c r="I157" s="132"/>
      <c r="J157" s="132"/>
    </row>
    <row r="158" spans="2:10" ht="14.4" customHeight="1" x14ac:dyDescent="0.3">
      <c r="B158" s="14"/>
      <c r="C158" s="15"/>
      <c r="D158" s="152" t="s">
        <v>6</v>
      </c>
      <c r="E158" s="153"/>
      <c r="F158" s="153"/>
      <c r="G158" s="154"/>
      <c r="H158" s="143" t="s">
        <v>7</v>
      </c>
      <c r="I158" s="144"/>
      <c r="J158" s="46"/>
    </row>
    <row r="159" spans="2:10" x14ac:dyDescent="0.3">
      <c r="B159" s="12"/>
      <c r="C159" s="13"/>
      <c r="D159" s="155" t="s">
        <v>9</v>
      </c>
      <c r="E159" s="156"/>
      <c r="F159" s="156"/>
      <c r="G159" s="157"/>
      <c r="H159" s="145"/>
      <c r="I159" s="146"/>
      <c r="J159" s="46"/>
    </row>
    <row r="160" spans="2:10" ht="14.4" customHeight="1" x14ac:dyDescent="0.3">
      <c r="B160" s="111" t="s">
        <v>10</v>
      </c>
      <c r="C160" s="113" t="s">
        <v>11</v>
      </c>
      <c r="D160" s="44" t="s">
        <v>12</v>
      </c>
      <c r="E160" s="44" t="s">
        <v>13</v>
      </c>
      <c r="F160" s="44" t="s">
        <v>14</v>
      </c>
      <c r="G160" s="44" t="s">
        <v>15</v>
      </c>
      <c r="H160" s="139" t="s">
        <v>16</v>
      </c>
      <c r="I160" s="141" t="s">
        <v>17</v>
      </c>
      <c r="J160" s="47"/>
    </row>
    <row r="161" spans="2:10" ht="38.4" customHeight="1" x14ac:dyDescent="0.3">
      <c r="B161" s="112"/>
      <c r="C161" s="114"/>
      <c r="D161" s="165" t="s">
        <v>20</v>
      </c>
      <c r="E161" s="166"/>
      <c r="F161" s="166"/>
      <c r="G161" s="167"/>
      <c r="H161" s="140"/>
      <c r="I161" s="142"/>
      <c r="J161" s="47"/>
    </row>
    <row r="162" spans="2:10" x14ac:dyDescent="0.3">
      <c r="B162" s="33">
        <v>4</v>
      </c>
      <c r="C162" s="31" t="s">
        <v>21</v>
      </c>
      <c r="D162" s="18">
        <v>2488.5</v>
      </c>
      <c r="E162" s="18">
        <v>0</v>
      </c>
      <c r="F162" s="36">
        <f>+D162+E162</f>
        <v>2488.5</v>
      </c>
      <c r="G162" s="18">
        <f>+F162</f>
        <v>2488.5</v>
      </c>
      <c r="H162" s="37" t="e">
        <f t="shared" ref="H162:H169" si="39">((G162-I162)/I162)*100</f>
        <v>#DIV/0!</v>
      </c>
      <c r="I162" s="18">
        <v>0</v>
      </c>
      <c r="J162" s="38"/>
    </row>
    <row r="163" spans="2:10" x14ac:dyDescent="0.3">
      <c r="B163" s="33">
        <v>5</v>
      </c>
      <c r="C163" s="31" t="s">
        <v>22</v>
      </c>
      <c r="D163" s="23">
        <v>12507.02</v>
      </c>
      <c r="E163" s="23">
        <v>0</v>
      </c>
      <c r="F163" s="40">
        <f>+E163+D163</f>
        <v>12507.02</v>
      </c>
      <c r="G163" s="23">
        <f>+G162+F163</f>
        <v>14995.52</v>
      </c>
      <c r="H163" s="41">
        <f t="shared" si="39"/>
        <v>-82.309435757224264</v>
      </c>
      <c r="I163" s="23">
        <v>84765.64</v>
      </c>
      <c r="J163" s="38"/>
    </row>
    <row r="164" spans="2:10" x14ac:dyDescent="0.3">
      <c r="B164" s="33">
        <v>6</v>
      </c>
      <c r="C164" s="31" t="s">
        <v>23</v>
      </c>
      <c r="D164" s="23">
        <v>5122.5200000000004</v>
      </c>
      <c r="E164" s="23">
        <v>0</v>
      </c>
      <c r="F164" s="40">
        <f>+E164+D164</f>
        <v>5122.5200000000004</v>
      </c>
      <c r="G164" s="23">
        <f t="shared" ref="G164" si="40">+G163+F164</f>
        <v>20118.04</v>
      </c>
      <c r="H164" s="41">
        <f t="shared" si="39"/>
        <v>-86.890860866945175</v>
      </c>
      <c r="I164" s="23">
        <f>+I163+68700.12</f>
        <v>153465.76</v>
      </c>
      <c r="J164" s="38"/>
    </row>
    <row r="165" spans="2:10" x14ac:dyDescent="0.3">
      <c r="B165" s="33">
        <v>7</v>
      </c>
      <c r="C165" s="31" t="s">
        <v>24</v>
      </c>
      <c r="D165" s="23">
        <v>388.5</v>
      </c>
      <c r="E165" s="23">
        <v>0</v>
      </c>
      <c r="F165" s="40">
        <f t="shared" ref="F165:F177" si="41">+E165+D165</f>
        <v>388.5</v>
      </c>
      <c r="G165" s="23">
        <f>+G164+F165</f>
        <v>20506.54</v>
      </c>
      <c r="H165" s="41">
        <f t="shared" si="39"/>
        <v>-88.933137424190534</v>
      </c>
      <c r="I165" s="23">
        <f>+I164+31831.02</f>
        <v>185296.78</v>
      </c>
      <c r="J165" s="38"/>
    </row>
    <row r="166" spans="2:10" x14ac:dyDescent="0.3">
      <c r="B166" s="33">
        <v>8</v>
      </c>
      <c r="C166" s="31" t="s">
        <v>25</v>
      </c>
      <c r="D166" s="23">
        <v>8772.5499999999993</v>
      </c>
      <c r="E166" s="23">
        <v>0</v>
      </c>
      <c r="F166" s="40">
        <f t="shared" si="41"/>
        <v>8772.5499999999993</v>
      </c>
      <c r="G166" s="23">
        <f t="shared" ref="G166:G177" si="42">+G165+F166</f>
        <v>29279.09</v>
      </c>
      <c r="H166" s="41">
        <f t="shared" si="39"/>
        <v>-87.67646914480035</v>
      </c>
      <c r="I166" s="23">
        <v>237586.86</v>
      </c>
      <c r="J166" s="38"/>
    </row>
    <row r="167" spans="2:10" x14ac:dyDescent="0.3">
      <c r="B167" s="33">
        <v>9</v>
      </c>
      <c r="C167" s="31" t="s">
        <v>26</v>
      </c>
      <c r="D167" s="23">
        <v>1539.51</v>
      </c>
      <c r="E167" s="23">
        <v>0</v>
      </c>
      <c r="F167" s="40">
        <f t="shared" si="41"/>
        <v>1539.51</v>
      </c>
      <c r="G167" s="23">
        <f t="shared" si="42"/>
        <v>30818.6</v>
      </c>
      <c r="H167" s="41">
        <f t="shared" si="39"/>
        <v>-89.035918142331212</v>
      </c>
      <c r="I167" s="23">
        <f>+I166+43500.06</f>
        <v>281086.92</v>
      </c>
      <c r="J167" s="38"/>
    </row>
    <row r="168" spans="2:10" x14ac:dyDescent="0.3">
      <c r="B168" s="33">
        <v>10</v>
      </c>
      <c r="C168" s="31" t="s">
        <v>55</v>
      </c>
      <c r="D168" s="23">
        <v>4372.5</v>
      </c>
      <c r="E168" s="23">
        <v>0</v>
      </c>
      <c r="F168" s="40">
        <f t="shared" si="41"/>
        <v>4372.5</v>
      </c>
      <c r="G168" s="23">
        <f t="shared" si="42"/>
        <v>35191.1</v>
      </c>
      <c r="H168" s="41">
        <f t="shared" si="39"/>
        <v>-88.298242959122589</v>
      </c>
      <c r="I168" s="23">
        <f>+I167+19646.55</f>
        <v>300733.46999999997</v>
      </c>
      <c r="J168" s="38"/>
    </row>
    <row r="169" spans="2:10" x14ac:dyDescent="0.3">
      <c r="B169" s="33">
        <v>11</v>
      </c>
      <c r="C169" s="31" t="s">
        <v>56</v>
      </c>
      <c r="D169" s="23">
        <v>2333.0100000000002</v>
      </c>
      <c r="E169" s="23">
        <v>0</v>
      </c>
      <c r="F169" s="40">
        <f t="shared" si="41"/>
        <v>2333.0100000000002</v>
      </c>
      <c r="G169" s="23">
        <f t="shared" si="42"/>
        <v>37524.11</v>
      </c>
      <c r="H169" s="41">
        <f t="shared" si="39"/>
        <v>-88.530226008965926</v>
      </c>
      <c r="I169" s="23">
        <f>+I168+26423.02</f>
        <v>327156.49</v>
      </c>
      <c r="J169" s="38"/>
    </row>
    <row r="170" spans="2:10" x14ac:dyDescent="0.3">
      <c r="B170" s="33">
        <v>12</v>
      </c>
      <c r="C170" s="31" t="s">
        <v>71</v>
      </c>
      <c r="D170" s="23">
        <v>0</v>
      </c>
      <c r="E170" s="23">
        <v>0</v>
      </c>
      <c r="F170" s="40">
        <f t="shared" si="41"/>
        <v>0</v>
      </c>
      <c r="G170" s="23">
        <f t="shared" si="42"/>
        <v>37524.11</v>
      </c>
      <c r="H170" s="41">
        <f>((G170-I170)/I170)*100</f>
        <v>-91.061720989070409</v>
      </c>
      <c r="I170" s="23">
        <f>+I169+92657.1</f>
        <v>419813.58999999997</v>
      </c>
      <c r="J170" s="38"/>
    </row>
    <row r="171" spans="2:10" x14ac:dyDescent="0.3">
      <c r="B171" s="33">
        <v>13</v>
      </c>
      <c r="C171" s="31" t="s">
        <v>57</v>
      </c>
      <c r="D171" s="23">
        <v>0</v>
      </c>
      <c r="E171" s="23">
        <v>0</v>
      </c>
      <c r="F171" s="40">
        <f t="shared" si="41"/>
        <v>0</v>
      </c>
      <c r="G171" s="23">
        <f t="shared" si="42"/>
        <v>37524.11</v>
      </c>
      <c r="H171" s="41">
        <f>((G171-I171)/I171)*100</f>
        <v>-91.061720989070409</v>
      </c>
      <c r="I171" s="23">
        <v>419813.59</v>
      </c>
      <c r="J171" s="38"/>
    </row>
    <row r="172" spans="2:10" x14ac:dyDescent="0.3">
      <c r="B172" s="33">
        <v>14</v>
      </c>
      <c r="C172" s="49" t="s">
        <v>58</v>
      </c>
      <c r="D172" s="23">
        <v>0</v>
      </c>
      <c r="E172" s="23">
        <v>0</v>
      </c>
      <c r="F172" s="40">
        <f t="shared" si="41"/>
        <v>0</v>
      </c>
      <c r="G172" s="23">
        <f t="shared" si="42"/>
        <v>37524.11</v>
      </c>
      <c r="H172" s="41">
        <f>((G172-I172)/I172)*100</f>
        <v>-91.061720989070409</v>
      </c>
      <c r="I172" s="23">
        <f>+I171+0</f>
        <v>419813.59</v>
      </c>
      <c r="J172" s="38"/>
    </row>
    <row r="173" spans="2:10" x14ac:dyDescent="0.3">
      <c r="B173" s="33">
        <v>15</v>
      </c>
      <c r="C173" s="31" t="s">
        <v>59</v>
      </c>
      <c r="D173" s="23">
        <v>0</v>
      </c>
      <c r="E173" s="23">
        <v>0</v>
      </c>
      <c r="F173" s="40">
        <f t="shared" si="41"/>
        <v>0</v>
      </c>
      <c r="G173" s="23">
        <f t="shared" si="42"/>
        <v>37524.11</v>
      </c>
      <c r="H173" s="41">
        <f>((G173-I173)/I173)*100</f>
        <v>-91.061720989070409</v>
      </c>
      <c r="I173" s="23">
        <f>+I172+0</f>
        <v>419813.59</v>
      </c>
      <c r="J173" s="38"/>
    </row>
    <row r="174" spans="2:10" x14ac:dyDescent="0.3">
      <c r="B174" s="33">
        <v>16</v>
      </c>
      <c r="C174" s="31" t="s">
        <v>60</v>
      </c>
      <c r="D174" s="23">
        <v>0</v>
      </c>
      <c r="E174" s="23">
        <v>0</v>
      </c>
      <c r="F174" s="40">
        <f t="shared" si="41"/>
        <v>0</v>
      </c>
      <c r="G174" s="23">
        <f t="shared" si="42"/>
        <v>37524.11</v>
      </c>
      <c r="H174" s="41">
        <f t="shared" ref="H174:H180" si="43">((G174-I174)/I174)*100</f>
        <v>-91.061720989070409</v>
      </c>
      <c r="I174" s="23">
        <v>419813.59</v>
      </c>
      <c r="J174" s="38"/>
    </row>
    <row r="175" spans="2:10" x14ac:dyDescent="0.3">
      <c r="B175" s="33">
        <v>17</v>
      </c>
      <c r="C175" s="31" t="s">
        <v>61</v>
      </c>
      <c r="D175" s="23">
        <v>0</v>
      </c>
      <c r="E175" s="23">
        <v>0</v>
      </c>
      <c r="F175" s="40">
        <f t="shared" si="41"/>
        <v>0</v>
      </c>
      <c r="G175" s="23">
        <f t="shared" si="42"/>
        <v>37524.11</v>
      </c>
      <c r="H175" s="41">
        <f t="shared" si="43"/>
        <v>-91.061720989070409</v>
      </c>
      <c r="I175" s="23">
        <v>419813.59</v>
      </c>
      <c r="J175" s="38"/>
    </row>
    <row r="176" spans="2:10" x14ac:dyDescent="0.3">
      <c r="B176" s="33">
        <v>18</v>
      </c>
      <c r="C176" s="31" t="s">
        <v>62</v>
      </c>
      <c r="D176" s="23">
        <v>0</v>
      </c>
      <c r="E176" s="23">
        <v>0</v>
      </c>
      <c r="F176" s="40">
        <f t="shared" si="41"/>
        <v>0</v>
      </c>
      <c r="G176" s="23">
        <f t="shared" si="42"/>
        <v>37524.11</v>
      </c>
      <c r="H176" s="41">
        <f t="shared" si="43"/>
        <v>-91.061720989070409</v>
      </c>
      <c r="I176" s="23">
        <f>+I175+0</f>
        <v>419813.59</v>
      </c>
      <c r="J176" s="38"/>
    </row>
    <row r="177" spans="2:10" x14ac:dyDescent="0.3">
      <c r="B177" s="33">
        <v>19</v>
      </c>
      <c r="C177" s="31" t="s">
        <v>63</v>
      </c>
      <c r="D177" s="23">
        <v>0</v>
      </c>
      <c r="E177" s="23">
        <v>0</v>
      </c>
      <c r="F177" s="40">
        <f t="shared" si="41"/>
        <v>0</v>
      </c>
      <c r="G177" s="23">
        <f t="shared" si="42"/>
        <v>37524.11</v>
      </c>
      <c r="H177" s="41">
        <f t="shared" si="43"/>
        <v>-91.061720989070409</v>
      </c>
      <c r="I177" s="23">
        <f>+I176+0</f>
        <v>419813.59</v>
      </c>
      <c r="J177" s="38"/>
    </row>
    <row r="178" spans="2:10" x14ac:dyDescent="0.3">
      <c r="B178" s="33">
        <v>20</v>
      </c>
      <c r="C178" s="31" t="s">
        <v>72</v>
      </c>
      <c r="D178" s="23">
        <v>0</v>
      </c>
      <c r="E178" s="23">
        <v>0</v>
      </c>
      <c r="F178" s="40">
        <f t="shared" ref="F178:F186" si="44">+E178+D178</f>
        <v>0</v>
      </c>
      <c r="G178" s="23">
        <f t="shared" ref="G178:G186" si="45">+G177+F178</f>
        <v>37524.11</v>
      </c>
      <c r="H178" s="41">
        <f t="shared" si="43"/>
        <v>-91.173136039090267</v>
      </c>
      <c r="I178" s="23">
        <f>+I177+5299</f>
        <v>425112.59</v>
      </c>
      <c r="J178" s="38"/>
    </row>
    <row r="179" spans="2:10" x14ac:dyDescent="0.3">
      <c r="B179" s="33">
        <v>21</v>
      </c>
      <c r="C179" s="31" t="s">
        <v>65</v>
      </c>
      <c r="D179" s="23">
        <v>0</v>
      </c>
      <c r="E179" s="23">
        <v>0</v>
      </c>
      <c r="F179" s="40">
        <f t="shared" si="44"/>
        <v>0</v>
      </c>
      <c r="G179" s="23">
        <f t="shared" si="45"/>
        <v>37524.11</v>
      </c>
      <c r="H179" s="41">
        <f t="shared" si="43"/>
        <v>-91.173136039090267</v>
      </c>
      <c r="I179" s="23">
        <f t="shared" ref="I179:I183" si="46">+I178+0</f>
        <v>425112.59</v>
      </c>
      <c r="J179" s="38"/>
    </row>
    <row r="180" spans="2:10" x14ac:dyDescent="0.3">
      <c r="B180" s="33">
        <v>22</v>
      </c>
      <c r="C180" s="31" t="s">
        <v>66</v>
      </c>
      <c r="D180" s="23">
        <v>0</v>
      </c>
      <c r="E180" s="23">
        <v>0</v>
      </c>
      <c r="F180" s="40">
        <f t="shared" si="44"/>
        <v>0</v>
      </c>
      <c r="G180" s="23">
        <f t="shared" si="45"/>
        <v>37524.11</v>
      </c>
      <c r="H180" s="41">
        <f t="shared" si="43"/>
        <v>-91.173136039090267</v>
      </c>
      <c r="I180" s="23">
        <f t="shared" si="46"/>
        <v>425112.59</v>
      </c>
      <c r="J180" s="38"/>
    </row>
    <row r="181" spans="2:10" x14ac:dyDescent="0.3">
      <c r="B181" s="33">
        <v>23</v>
      </c>
      <c r="C181" s="31" t="s">
        <v>76</v>
      </c>
      <c r="D181" s="23">
        <v>0</v>
      </c>
      <c r="E181" s="23">
        <v>0</v>
      </c>
      <c r="F181" s="40">
        <f t="shared" si="44"/>
        <v>0</v>
      </c>
      <c r="G181" s="23">
        <f t="shared" si="45"/>
        <v>37524.11</v>
      </c>
      <c r="H181" s="41">
        <f t="shared" ref="H181:H186" si="47">((G181-I181)/I181)*100</f>
        <v>-91.173136039090267</v>
      </c>
      <c r="I181" s="23">
        <f t="shared" si="46"/>
        <v>425112.59</v>
      </c>
      <c r="J181" s="38"/>
    </row>
    <row r="182" spans="2:10" x14ac:dyDescent="0.3">
      <c r="B182" s="33">
        <v>24</v>
      </c>
      <c r="C182" s="31" t="s">
        <v>68</v>
      </c>
      <c r="D182" s="23">
        <v>0</v>
      </c>
      <c r="E182" s="23">
        <v>0</v>
      </c>
      <c r="F182" s="40">
        <f t="shared" si="44"/>
        <v>0</v>
      </c>
      <c r="G182" s="23">
        <f t="shared" si="45"/>
        <v>37524.11</v>
      </c>
      <c r="H182" s="41">
        <f t="shared" si="47"/>
        <v>-91.173136039090267</v>
      </c>
      <c r="I182" s="23">
        <f t="shared" si="46"/>
        <v>425112.59</v>
      </c>
      <c r="J182" s="38"/>
    </row>
    <row r="183" spans="2:10" x14ac:dyDescent="0.3">
      <c r="B183" s="33">
        <v>25</v>
      </c>
      <c r="C183" s="67" t="s">
        <v>69</v>
      </c>
      <c r="D183" s="23">
        <v>0</v>
      </c>
      <c r="E183" s="23">
        <v>0</v>
      </c>
      <c r="F183" s="40">
        <f t="shared" si="44"/>
        <v>0</v>
      </c>
      <c r="G183" s="23">
        <f t="shared" si="45"/>
        <v>37524.11</v>
      </c>
      <c r="H183" s="41">
        <f t="shared" si="47"/>
        <v>-91.173136039090267</v>
      </c>
      <c r="I183" s="23">
        <f t="shared" si="46"/>
        <v>425112.59</v>
      </c>
      <c r="J183" s="38"/>
    </row>
    <row r="184" spans="2:10" x14ac:dyDescent="0.3">
      <c r="B184" s="97">
        <v>26</v>
      </c>
      <c r="C184" s="93" t="s">
        <v>70</v>
      </c>
      <c r="D184" s="94">
        <v>0</v>
      </c>
      <c r="E184" s="95">
        <v>0</v>
      </c>
      <c r="F184" s="96">
        <f t="shared" si="44"/>
        <v>0</v>
      </c>
      <c r="G184" s="95">
        <f t="shared" si="45"/>
        <v>37524.11</v>
      </c>
      <c r="H184" s="41">
        <f t="shared" si="47"/>
        <v>-91.173136039090267</v>
      </c>
      <c r="I184" s="23">
        <f>+I183+0</f>
        <v>425112.59</v>
      </c>
      <c r="J184" s="19"/>
    </row>
    <row r="185" spans="2:10" x14ac:dyDescent="0.3">
      <c r="B185" s="33">
        <v>27</v>
      </c>
      <c r="C185" s="67" t="s">
        <v>79</v>
      </c>
      <c r="D185" s="23">
        <v>0</v>
      </c>
      <c r="E185" s="23">
        <v>0</v>
      </c>
      <c r="F185" s="40">
        <f t="shared" si="44"/>
        <v>0</v>
      </c>
      <c r="G185" s="23">
        <f t="shared" si="45"/>
        <v>37524.11</v>
      </c>
      <c r="H185" s="41">
        <f t="shared" si="47"/>
        <v>-91.173136039090267</v>
      </c>
      <c r="I185" s="23">
        <f>+I184+0</f>
        <v>425112.59</v>
      </c>
      <c r="J185" s="19"/>
    </row>
    <row r="186" spans="2:10" x14ac:dyDescent="0.3">
      <c r="B186" s="33">
        <v>28</v>
      </c>
      <c r="C186" s="67" t="s">
        <v>80</v>
      </c>
      <c r="D186" s="23">
        <v>0</v>
      </c>
      <c r="E186" s="23">
        <v>0</v>
      </c>
      <c r="F186" s="40">
        <f t="shared" si="44"/>
        <v>0</v>
      </c>
      <c r="G186" s="23">
        <f t="shared" si="45"/>
        <v>37524.11</v>
      </c>
      <c r="H186" s="41">
        <f t="shared" si="47"/>
        <v>-91.173136039090267</v>
      </c>
      <c r="I186" s="23">
        <f>+I185+0</f>
        <v>425112.59</v>
      </c>
      <c r="J186" s="19"/>
    </row>
    <row r="187" spans="2:10" x14ac:dyDescent="0.3">
      <c r="B187" s="33">
        <v>29</v>
      </c>
      <c r="C187" s="67" t="s">
        <v>81</v>
      </c>
      <c r="D187" s="23">
        <v>0</v>
      </c>
      <c r="E187" s="23">
        <v>0</v>
      </c>
      <c r="F187" s="40">
        <f t="shared" ref="F187:F191" si="48">+E187+D187</f>
        <v>0</v>
      </c>
      <c r="G187" s="23">
        <f t="shared" ref="G187:G190" si="49">+G186+F187</f>
        <v>37524.11</v>
      </c>
      <c r="H187" s="41">
        <f t="shared" ref="H187:H193" si="50">((G187-I187)/I187)*100</f>
        <v>-91.173136039090267</v>
      </c>
      <c r="I187" s="23">
        <f t="shared" ref="I187:I193" si="51">+I186+0</f>
        <v>425112.59</v>
      </c>
      <c r="J187" s="10"/>
    </row>
    <row r="188" spans="2:10" x14ac:dyDescent="0.3">
      <c r="B188" s="33">
        <v>30</v>
      </c>
      <c r="C188" s="67" t="s">
        <v>82</v>
      </c>
      <c r="D188" s="23">
        <v>0</v>
      </c>
      <c r="E188" s="23">
        <v>0</v>
      </c>
      <c r="F188" s="40">
        <f t="shared" si="48"/>
        <v>0</v>
      </c>
      <c r="G188" s="23">
        <f t="shared" si="49"/>
        <v>37524.11</v>
      </c>
      <c r="H188" s="41">
        <f t="shared" si="50"/>
        <v>-91.173136039090267</v>
      </c>
      <c r="I188" s="23">
        <f t="shared" si="51"/>
        <v>425112.59</v>
      </c>
      <c r="J188" s="10"/>
    </row>
    <row r="189" spans="2:10" x14ac:dyDescent="0.3">
      <c r="B189" s="33">
        <v>31</v>
      </c>
      <c r="C189" s="67" t="s">
        <v>83</v>
      </c>
      <c r="D189" s="23">
        <v>0</v>
      </c>
      <c r="E189" s="23">
        <v>0</v>
      </c>
      <c r="F189" s="40">
        <f t="shared" si="48"/>
        <v>0</v>
      </c>
      <c r="G189" s="23">
        <f t="shared" si="49"/>
        <v>37524.11</v>
      </c>
      <c r="H189" s="41">
        <f t="shared" si="50"/>
        <v>-91.173136039090267</v>
      </c>
      <c r="I189" s="23">
        <f t="shared" si="51"/>
        <v>425112.59</v>
      </c>
      <c r="J189" s="10"/>
    </row>
    <row r="190" spans="2:10" x14ac:dyDescent="0.3">
      <c r="B190" s="33">
        <v>32</v>
      </c>
      <c r="C190" s="67" t="s">
        <v>84</v>
      </c>
      <c r="D190" s="23">
        <v>0</v>
      </c>
      <c r="E190" s="23">
        <v>0</v>
      </c>
      <c r="F190" s="40">
        <f t="shared" si="48"/>
        <v>0</v>
      </c>
      <c r="G190" s="23">
        <f t="shared" si="49"/>
        <v>37524.11</v>
      </c>
      <c r="H190" s="41">
        <f t="shared" si="50"/>
        <v>-91.173136039090267</v>
      </c>
      <c r="I190" s="23">
        <f t="shared" si="51"/>
        <v>425112.59</v>
      </c>
      <c r="J190" s="10"/>
    </row>
    <row r="191" spans="2:10" x14ac:dyDescent="0.3">
      <c r="B191" s="33">
        <v>33</v>
      </c>
      <c r="C191" s="67" t="s">
        <v>85</v>
      </c>
      <c r="D191" s="94">
        <v>0</v>
      </c>
      <c r="E191" s="95">
        <v>0</v>
      </c>
      <c r="F191" s="96">
        <f t="shared" si="48"/>
        <v>0</v>
      </c>
      <c r="G191" s="95">
        <f>+G190+F191</f>
        <v>37524.11</v>
      </c>
      <c r="H191" s="41">
        <f t="shared" si="50"/>
        <v>-91.173136039090267</v>
      </c>
      <c r="I191" s="23">
        <f t="shared" si="51"/>
        <v>425112.59</v>
      </c>
      <c r="J191" s="10"/>
    </row>
    <row r="192" spans="2:10" x14ac:dyDescent="0.3">
      <c r="B192" s="33">
        <v>34</v>
      </c>
      <c r="C192" s="67" t="s">
        <v>87</v>
      </c>
      <c r="D192" s="23">
        <v>0</v>
      </c>
      <c r="E192" s="23">
        <v>0</v>
      </c>
      <c r="F192" s="40">
        <v>0</v>
      </c>
      <c r="G192" s="23">
        <f>+G191+F192</f>
        <v>37524.11</v>
      </c>
      <c r="H192" s="41">
        <f t="shared" si="50"/>
        <v>-91.173136039090267</v>
      </c>
      <c r="I192" s="23">
        <f t="shared" si="51"/>
        <v>425112.59</v>
      </c>
      <c r="J192" s="10"/>
    </row>
    <row r="193" spans="2:10" x14ac:dyDescent="0.3">
      <c r="B193" s="33">
        <v>35</v>
      </c>
      <c r="C193" s="67" t="s">
        <v>86</v>
      </c>
      <c r="D193" s="23">
        <v>0</v>
      </c>
      <c r="E193" s="23">
        <v>0</v>
      </c>
      <c r="F193" s="40">
        <f>+E193+D193</f>
        <v>0</v>
      </c>
      <c r="G193" s="40">
        <f>+G192+F193</f>
        <v>37524.11</v>
      </c>
      <c r="H193" s="41">
        <f t="shared" si="50"/>
        <v>-91.173136039090267</v>
      </c>
      <c r="I193" s="23">
        <f t="shared" si="51"/>
        <v>425112.59</v>
      </c>
      <c r="J193" s="10"/>
    </row>
    <row r="194" spans="2:10" hidden="1" x14ac:dyDescent="0.3">
      <c r="B194" s="33">
        <v>36</v>
      </c>
      <c r="C194" s="67"/>
      <c r="D194" s="23"/>
      <c r="E194" s="23"/>
      <c r="F194" s="40"/>
      <c r="G194" s="40"/>
      <c r="H194" s="41"/>
      <c r="I194" s="23"/>
      <c r="J194" s="10"/>
    </row>
    <row r="195" spans="2:10" hidden="1" x14ac:dyDescent="0.3">
      <c r="B195" s="33">
        <v>37</v>
      </c>
      <c r="C195" s="67"/>
      <c r="D195" s="23"/>
      <c r="E195" s="23"/>
      <c r="F195" s="40"/>
      <c r="G195" s="40"/>
      <c r="H195" s="41"/>
      <c r="I195" s="23"/>
      <c r="J195" s="10"/>
    </row>
    <row r="196" spans="2:10" hidden="1" x14ac:dyDescent="0.3">
      <c r="B196" s="33">
        <v>38</v>
      </c>
      <c r="C196" s="67"/>
      <c r="D196" s="23"/>
      <c r="E196" s="23"/>
      <c r="F196" s="40"/>
      <c r="G196" s="40"/>
      <c r="H196" s="41"/>
      <c r="I196" s="23"/>
      <c r="J196" s="10"/>
    </row>
    <row r="197" spans="2:10" hidden="1" x14ac:dyDescent="0.3">
      <c r="B197" s="33">
        <v>39</v>
      </c>
      <c r="C197" s="67"/>
      <c r="D197" s="23"/>
      <c r="E197" s="23"/>
      <c r="F197" s="40"/>
      <c r="G197" s="40"/>
      <c r="H197" s="41"/>
      <c r="I197" s="23"/>
      <c r="J197" s="10"/>
    </row>
    <row r="198" spans="2:10" hidden="1" x14ac:dyDescent="0.3">
      <c r="B198" s="33">
        <v>40</v>
      </c>
      <c r="C198" s="67"/>
      <c r="D198" s="23"/>
      <c r="E198" s="23"/>
      <c r="F198" s="40"/>
      <c r="G198" s="40"/>
      <c r="H198" s="41"/>
      <c r="I198" s="23"/>
      <c r="J198" s="10"/>
    </row>
    <row r="199" spans="2:10" x14ac:dyDescent="0.3">
      <c r="B199" s="5"/>
      <c r="C199" s="5"/>
      <c r="D199" s="6"/>
      <c r="E199" s="6"/>
      <c r="F199" s="6"/>
      <c r="G199" s="6"/>
      <c r="H199" s="6"/>
      <c r="I199" s="6"/>
      <c r="J199" s="6"/>
    </row>
    <row r="200" spans="2:10" x14ac:dyDescent="0.3">
      <c r="B200" s="8" t="s">
        <v>27</v>
      </c>
      <c r="C200" s="5"/>
      <c r="D200" s="6"/>
      <c r="E200" s="6"/>
      <c r="F200" s="6"/>
      <c r="G200" s="6"/>
      <c r="H200" s="6"/>
      <c r="I200" s="6"/>
      <c r="J200" s="6"/>
    </row>
    <row r="201" spans="2:10" x14ac:dyDescent="0.3">
      <c r="B201" s="9" t="s">
        <v>28</v>
      </c>
      <c r="C201" s="5"/>
      <c r="D201" s="6"/>
      <c r="E201" s="6"/>
      <c r="F201" s="6"/>
      <c r="G201" s="6"/>
      <c r="H201" s="6"/>
      <c r="I201" s="6"/>
      <c r="J201" s="6"/>
    </row>
    <row r="202" spans="2:10" x14ac:dyDescent="0.3">
      <c r="B202" s="9" t="s">
        <v>29</v>
      </c>
      <c r="C202" s="5"/>
      <c r="D202" s="6"/>
      <c r="E202" s="6"/>
      <c r="F202" s="6"/>
      <c r="G202" s="6"/>
      <c r="H202" s="6"/>
      <c r="I202" s="6"/>
      <c r="J202" s="6"/>
    </row>
    <row r="203" spans="2:10" x14ac:dyDescent="0.3">
      <c r="B203" s="9" t="s">
        <v>30</v>
      </c>
      <c r="C203" s="5"/>
      <c r="D203" s="6"/>
      <c r="E203" s="6"/>
      <c r="F203" s="6"/>
      <c r="G203" s="6"/>
      <c r="H203" s="6"/>
      <c r="I203" s="6"/>
      <c r="J203" s="6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56:I57"/>
    <mergeCell ref="D57:G57"/>
    <mergeCell ref="D53:I53"/>
    <mergeCell ref="D56:G56"/>
    <mergeCell ref="D54:I54"/>
    <mergeCell ref="B55:J55"/>
    <mergeCell ref="H107:I108"/>
    <mergeCell ref="D108:G108"/>
    <mergeCell ref="D104:I104"/>
    <mergeCell ref="D107:G107"/>
    <mergeCell ref="D105:I105"/>
    <mergeCell ref="B106:J106"/>
    <mergeCell ref="H158:I159"/>
    <mergeCell ref="D159:G159"/>
    <mergeCell ref="D155:I155"/>
    <mergeCell ref="D158:G158"/>
    <mergeCell ref="D156:I156"/>
    <mergeCell ref="B157:J157"/>
    <mergeCell ref="B58:B59"/>
    <mergeCell ref="C58:C59"/>
    <mergeCell ref="H58:H59"/>
    <mergeCell ref="I58:I59"/>
    <mergeCell ref="D59:G59"/>
    <mergeCell ref="B109:B110"/>
    <mergeCell ref="C109:C110"/>
    <mergeCell ref="H109:H110"/>
    <mergeCell ref="I109:I110"/>
    <mergeCell ref="D110:G110"/>
    <mergeCell ref="B160:B161"/>
    <mergeCell ref="C160:C161"/>
    <mergeCell ref="H160:H161"/>
    <mergeCell ref="I160:I161"/>
    <mergeCell ref="D161:G161"/>
  </mergeCells>
  <phoneticPr fontId="17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69EA-9AE5-491B-BAC7-C6C077D09B6E}">
  <dimension ref="A1:O932"/>
  <sheetViews>
    <sheetView topLeftCell="A15" zoomScale="90" zoomScaleNormal="90" workbookViewId="0">
      <selection activeCell="I21" sqref="I21"/>
    </sheetView>
  </sheetViews>
  <sheetFormatPr defaultRowHeight="13.8" x14ac:dyDescent="0.25"/>
  <cols>
    <col min="1" max="1" width="2.625" customWidth="1"/>
    <col min="2" max="2" width="6.75" customWidth="1"/>
    <col min="3" max="3" width="24" style="91" customWidth="1"/>
    <col min="4" max="4" width="18.625" style="92" customWidth="1"/>
    <col min="5" max="5" width="13" style="92" customWidth="1"/>
    <col min="6" max="6" width="15.125" style="92" customWidth="1"/>
    <col min="7" max="7" width="14.625" style="92" customWidth="1"/>
    <col min="8" max="8" width="25" style="79" customWidth="1"/>
    <col min="9" max="9" width="11.375" customWidth="1"/>
    <col min="10" max="10" width="12.375" customWidth="1"/>
  </cols>
  <sheetData>
    <row r="1" spans="1:9" ht="14.4" x14ac:dyDescent="0.3">
      <c r="A1" s="3"/>
      <c r="B1" s="50" t="s">
        <v>43</v>
      </c>
      <c r="C1" s="51"/>
      <c r="D1" s="52"/>
      <c r="E1" s="52"/>
      <c r="F1" s="52"/>
      <c r="G1" s="52"/>
      <c r="H1" s="53"/>
      <c r="I1" s="3"/>
    </row>
    <row r="2" spans="1:9" ht="14.4" x14ac:dyDescent="0.3">
      <c r="A2" s="3"/>
      <c r="B2" s="50" t="s">
        <v>44</v>
      </c>
      <c r="C2" s="51"/>
      <c r="D2" s="52"/>
      <c r="E2" s="52" t="s">
        <v>45</v>
      </c>
      <c r="F2" s="52" t="s">
        <v>45</v>
      </c>
      <c r="G2" s="52" t="s">
        <v>45</v>
      </c>
      <c r="H2" s="53" t="s">
        <v>45</v>
      </c>
      <c r="I2" s="3"/>
    </row>
    <row r="3" spans="1:9" ht="14.4" x14ac:dyDescent="0.3">
      <c r="A3" s="3"/>
      <c r="B3" s="50"/>
      <c r="C3" s="51"/>
      <c r="D3" s="52"/>
      <c r="E3" s="52"/>
      <c r="F3" s="52"/>
      <c r="G3" s="52"/>
      <c r="H3" s="53"/>
      <c r="I3" s="3"/>
    </row>
    <row r="4" spans="1:9" ht="14.4" x14ac:dyDescent="0.3">
      <c r="A4" s="3"/>
      <c r="B4" s="3"/>
      <c r="C4" s="54"/>
      <c r="D4" s="55"/>
      <c r="E4" s="55"/>
      <c r="F4" s="55"/>
      <c r="G4" s="55"/>
      <c r="H4" s="32"/>
      <c r="I4" s="3"/>
    </row>
    <row r="5" spans="1:9" ht="14.4" x14ac:dyDescent="0.3">
      <c r="A5" s="3"/>
      <c r="B5" s="3"/>
      <c r="C5" s="54"/>
      <c r="D5" s="55"/>
      <c r="E5" s="55"/>
      <c r="F5" s="55"/>
      <c r="G5" s="55"/>
      <c r="H5" s="32"/>
      <c r="I5" s="3"/>
    </row>
    <row r="6" spans="1:9" ht="16.5" customHeight="1" x14ac:dyDescent="0.35">
      <c r="A6" s="25"/>
      <c r="B6" s="26" t="s">
        <v>45</v>
      </c>
      <c r="C6" s="56" t="s">
        <v>45</v>
      </c>
      <c r="D6" s="186" t="s">
        <v>46</v>
      </c>
      <c r="E6" s="186"/>
      <c r="F6" s="186"/>
      <c r="G6" s="186"/>
      <c r="H6" s="186"/>
      <c r="I6" s="2" t="s">
        <v>0</v>
      </c>
    </row>
    <row r="7" spans="1:9" ht="15.9" customHeight="1" x14ac:dyDescent="0.3">
      <c r="A7" s="3"/>
      <c r="B7" s="132" t="s">
        <v>89</v>
      </c>
      <c r="C7" s="132"/>
      <c r="D7" s="132"/>
      <c r="E7" s="132"/>
      <c r="F7" s="132"/>
      <c r="G7" s="132"/>
      <c r="H7" s="132"/>
      <c r="I7" s="2" t="s">
        <v>1</v>
      </c>
    </row>
    <row r="8" spans="1:9" ht="14.4" customHeight="1" x14ac:dyDescent="0.3">
      <c r="A8" s="3"/>
      <c r="B8" s="14"/>
      <c r="C8" s="15"/>
      <c r="D8" s="152" t="s">
        <v>6</v>
      </c>
      <c r="E8" s="152"/>
      <c r="F8" s="152"/>
      <c r="G8" s="152"/>
      <c r="H8" s="187"/>
      <c r="I8" s="2" t="s">
        <v>2</v>
      </c>
    </row>
    <row r="9" spans="1:9" ht="14.4" x14ac:dyDescent="0.3">
      <c r="A9" s="3"/>
      <c r="B9" s="12"/>
      <c r="C9" s="13"/>
      <c r="D9" s="155" t="s">
        <v>9</v>
      </c>
      <c r="E9" s="155"/>
      <c r="F9" s="155"/>
      <c r="G9" s="155"/>
      <c r="H9" s="187"/>
      <c r="I9" s="2" t="s">
        <v>3</v>
      </c>
    </row>
    <row r="10" spans="1:9" ht="14.4" customHeight="1" x14ac:dyDescent="0.3">
      <c r="A10" s="3"/>
      <c r="B10" s="111" t="s">
        <v>10</v>
      </c>
      <c r="C10" s="188" t="s">
        <v>11</v>
      </c>
      <c r="D10" s="44" t="s">
        <v>12</v>
      </c>
      <c r="E10" s="44" t="s">
        <v>13</v>
      </c>
      <c r="F10" s="44" t="s">
        <v>14</v>
      </c>
      <c r="G10" s="57" t="s">
        <v>15</v>
      </c>
      <c r="H10" s="189"/>
      <c r="I10" s="2" t="s">
        <v>4</v>
      </c>
    </row>
    <row r="11" spans="1:9" ht="14.4" x14ac:dyDescent="0.3">
      <c r="A11" s="3"/>
      <c r="B11" s="111"/>
      <c r="C11" s="188"/>
      <c r="D11" s="165" t="s">
        <v>20</v>
      </c>
      <c r="E11" s="165"/>
      <c r="F11" s="165"/>
      <c r="G11" s="165"/>
      <c r="H11" s="189"/>
      <c r="I11" s="3"/>
    </row>
    <row r="12" spans="1:9" ht="14.4" x14ac:dyDescent="0.3">
      <c r="A12" s="3"/>
      <c r="B12" s="33">
        <v>4</v>
      </c>
      <c r="C12" s="58" t="s">
        <v>21</v>
      </c>
      <c r="D12" s="59">
        <v>238649.5</v>
      </c>
      <c r="E12" s="18">
        <v>0</v>
      </c>
      <c r="F12" s="60">
        <v>238649.5</v>
      </c>
      <c r="G12" s="61">
        <v>238649.5</v>
      </c>
      <c r="H12" s="62" t="s">
        <v>45</v>
      </c>
      <c r="I12" s="3"/>
    </row>
    <row r="13" spans="1:9" ht="14.4" x14ac:dyDescent="0.3">
      <c r="A13" s="3"/>
      <c r="B13" s="63">
        <v>5</v>
      </c>
      <c r="C13" s="64" t="s">
        <v>22</v>
      </c>
      <c r="D13" s="59">
        <v>1725098.5</v>
      </c>
      <c r="E13" s="23">
        <v>0</v>
      </c>
      <c r="F13" s="60">
        <v>1725098.5</v>
      </c>
      <c r="G13" s="61">
        <v>1963748</v>
      </c>
      <c r="H13" s="62" t="s">
        <v>45</v>
      </c>
      <c r="I13" s="32"/>
    </row>
    <row r="14" spans="1:9" ht="14.4" x14ac:dyDescent="0.3">
      <c r="A14" s="3"/>
      <c r="B14" s="63">
        <v>6</v>
      </c>
      <c r="C14" s="64" t="s">
        <v>23</v>
      </c>
      <c r="D14" s="59">
        <v>2950114.79</v>
      </c>
      <c r="E14" s="23">
        <v>0</v>
      </c>
      <c r="F14" s="60">
        <v>2950114.79</v>
      </c>
      <c r="G14" s="61">
        <v>4913862.79</v>
      </c>
      <c r="H14" s="62" t="s">
        <v>45</v>
      </c>
      <c r="I14" s="3"/>
    </row>
    <row r="15" spans="1:9" ht="14.4" x14ac:dyDescent="0.3">
      <c r="A15" s="3"/>
      <c r="B15" s="63">
        <v>7</v>
      </c>
      <c r="C15" s="64" t="s">
        <v>24</v>
      </c>
      <c r="D15" s="59">
        <v>1497270.22</v>
      </c>
      <c r="E15" s="23">
        <v>831062.5</v>
      </c>
      <c r="F15" s="60">
        <f>1497270.22+831062.5</f>
        <v>2328332.7199999997</v>
      </c>
      <c r="G15" s="61">
        <f>4913862.79+2328332.72</f>
        <v>7242195.5099999998</v>
      </c>
      <c r="H15" s="62" t="s">
        <v>45</v>
      </c>
      <c r="I15" s="3"/>
    </row>
    <row r="16" spans="1:9" s="3" customFormat="1" ht="14.4" x14ac:dyDescent="0.3">
      <c r="B16" s="33">
        <v>8</v>
      </c>
      <c r="C16" s="31" t="s">
        <v>25</v>
      </c>
      <c r="D16" s="23">
        <v>1809356.01</v>
      </c>
      <c r="E16" s="23">
        <v>0</v>
      </c>
      <c r="F16" s="40">
        <f t="shared" ref="F16:F31" si="0">+E16+D16</f>
        <v>1809356.01</v>
      </c>
      <c r="G16" s="65">
        <f>+G15+F16</f>
        <v>9051551.5199999996</v>
      </c>
      <c r="H16" s="62"/>
      <c r="I16" s="66"/>
    </row>
    <row r="17" spans="2:10" s="3" customFormat="1" ht="14.4" x14ac:dyDescent="0.3">
      <c r="B17" s="33">
        <v>9</v>
      </c>
      <c r="C17" s="31" t="s">
        <v>26</v>
      </c>
      <c r="D17" s="23">
        <v>1401684.53</v>
      </c>
      <c r="E17" s="23">
        <v>0</v>
      </c>
      <c r="F17" s="40">
        <f t="shared" si="0"/>
        <v>1401684.53</v>
      </c>
      <c r="G17" s="65">
        <f t="shared" ref="G17:G31" si="1">+G16+F17</f>
        <v>10453236.049999999</v>
      </c>
      <c r="H17" s="62"/>
      <c r="I17" s="35"/>
      <c r="J17" s="35"/>
    </row>
    <row r="18" spans="2:10" s="3" customFormat="1" ht="14.4" x14ac:dyDescent="0.3">
      <c r="B18" s="33">
        <v>10</v>
      </c>
      <c r="C18" s="31" t="s">
        <v>55</v>
      </c>
      <c r="D18" s="23">
        <v>1938633.5</v>
      </c>
      <c r="E18" s="23">
        <v>0</v>
      </c>
      <c r="F18" s="40">
        <f t="shared" si="0"/>
        <v>1938633.5</v>
      </c>
      <c r="G18" s="65">
        <f t="shared" si="1"/>
        <v>12391869.549999999</v>
      </c>
      <c r="H18" s="62"/>
      <c r="I18" s="35"/>
      <c r="J18" s="35"/>
    </row>
    <row r="19" spans="2:10" s="3" customFormat="1" ht="14.4" x14ac:dyDescent="0.3">
      <c r="B19" s="33">
        <v>11</v>
      </c>
      <c r="C19" s="31" t="s">
        <v>56</v>
      </c>
      <c r="D19" s="23">
        <v>924184.5</v>
      </c>
      <c r="E19" s="23">
        <v>0</v>
      </c>
      <c r="F19" s="40">
        <f t="shared" si="0"/>
        <v>924184.5</v>
      </c>
      <c r="G19" s="65">
        <f t="shared" si="1"/>
        <v>13316054.049999999</v>
      </c>
      <c r="H19" s="62"/>
      <c r="I19" s="35"/>
      <c r="J19" s="35"/>
    </row>
    <row r="20" spans="2:10" s="3" customFormat="1" ht="14.4" x14ac:dyDescent="0.3">
      <c r="B20" s="33">
        <v>12</v>
      </c>
      <c r="C20" s="31" t="s">
        <v>71</v>
      </c>
      <c r="D20" s="23">
        <v>981003.01</v>
      </c>
      <c r="E20" s="23">
        <v>0</v>
      </c>
      <c r="F20" s="40">
        <f t="shared" si="0"/>
        <v>981003.01</v>
      </c>
      <c r="G20" s="65">
        <f t="shared" si="1"/>
        <v>14297057.059999999</v>
      </c>
      <c r="H20" s="62"/>
      <c r="I20" s="35"/>
      <c r="J20" s="35"/>
    </row>
    <row r="21" spans="2:10" s="3" customFormat="1" ht="14.4" x14ac:dyDescent="0.3">
      <c r="B21" s="33">
        <v>13</v>
      </c>
      <c r="C21" s="31" t="s">
        <v>57</v>
      </c>
      <c r="D21" s="23">
        <v>757691.52</v>
      </c>
      <c r="E21" s="23">
        <v>0</v>
      </c>
      <c r="F21" s="40">
        <f t="shared" si="0"/>
        <v>757691.52</v>
      </c>
      <c r="G21" s="65">
        <f t="shared" si="1"/>
        <v>15054748.579999998</v>
      </c>
      <c r="H21" s="62"/>
      <c r="I21" s="35"/>
      <c r="J21" s="35"/>
    </row>
    <row r="22" spans="2:10" s="3" customFormat="1" ht="13.8" customHeight="1" x14ac:dyDescent="0.3">
      <c r="B22" s="33">
        <v>14</v>
      </c>
      <c r="C22" s="49" t="s">
        <v>58</v>
      </c>
      <c r="D22" s="23">
        <v>158016</v>
      </c>
      <c r="E22" s="23">
        <v>0</v>
      </c>
      <c r="F22" s="40">
        <f t="shared" si="0"/>
        <v>158016</v>
      </c>
      <c r="G22" s="65">
        <f t="shared" si="1"/>
        <v>15212764.579999998</v>
      </c>
      <c r="H22" s="62"/>
      <c r="I22" s="35"/>
      <c r="J22" s="35"/>
    </row>
    <row r="23" spans="2:10" s="3" customFormat="1" ht="14.4" x14ac:dyDescent="0.3">
      <c r="B23" s="33">
        <v>15</v>
      </c>
      <c r="C23" s="31" t="s">
        <v>59</v>
      </c>
      <c r="D23" s="23">
        <v>192045.5</v>
      </c>
      <c r="E23" s="23">
        <v>0</v>
      </c>
      <c r="F23" s="40">
        <f t="shared" si="0"/>
        <v>192045.5</v>
      </c>
      <c r="G23" s="65">
        <f t="shared" si="1"/>
        <v>15404810.079999998</v>
      </c>
      <c r="H23" s="62"/>
      <c r="I23" s="35"/>
      <c r="J23" s="35"/>
    </row>
    <row r="24" spans="2:10" s="3" customFormat="1" ht="14.4" x14ac:dyDescent="0.3">
      <c r="B24" s="33">
        <v>16</v>
      </c>
      <c r="C24" s="31" t="s">
        <v>60</v>
      </c>
      <c r="D24" s="23">
        <v>170134.5</v>
      </c>
      <c r="E24" s="23">
        <v>0</v>
      </c>
      <c r="F24" s="40">
        <f t="shared" si="0"/>
        <v>170134.5</v>
      </c>
      <c r="G24" s="65">
        <f t="shared" si="1"/>
        <v>15574944.579999998</v>
      </c>
      <c r="H24" s="62"/>
      <c r="I24" s="35"/>
      <c r="J24" s="35"/>
    </row>
    <row r="25" spans="2:10" s="3" customFormat="1" ht="14.4" x14ac:dyDescent="0.3">
      <c r="B25" s="33">
        <v>17</v>
      </c>
      <c r="C25" s="31" t="s">
        <v>61</v>
      </c>
      <c r="D25" s="23">
        <v>101675</v>
      </c>
      <c r="E25" s="23">
        <v>0</v>
      </c>
      <c r="F25" s="40">
        <f t="shared" si="0"/>
        <v>101675</v>
      </c>
      <c r="G25" s="65">
        <f t="shared" si="1"/>
        <v>15676619.579999998</v>
      </c>
      <c r="H25" s="62"/>
      <c r="I25" s="35"/>
      <c r="J25" s="35"/>
    </row>
    <row r="26" spans="2:10" s="3" customFormat="1" ht="14.4" x14ac:dyDescent="0.3">
      <c r="B26" s="33">
        <v>18</v>
      </c>
      <c r="C26" s="31" t="s">
        <v>62</v>
      </c>
      <c r="D26" s="23">
        <v>82061</v>
      </c>
      <c r="E26" s="23">
        <v>0</v>
      </c>
      <c r="F26" s="40">
        <f t="shared" si="0"/>
        <v>82061</v>
      </c>
      <c r="G26" s="65">
        <f t="shared" si="1"/>
        <v>15758680.579999998</v>
      </c>
      <c r="H26" s="62"/>
      <c r="I26" s="35"/>
      <c r="J26" s="35"/>
    </row>
    <row r="27" spans="2:10" s="3" customFormat="1" ht="14.4" x14ac:dyDescent="0.3">
      <c r="B27" s="33">
        <v>19</v>
      </c>
      <c r="C27" s="31" t="s">
        <v>63</v>
      </c>
      <c r="D27" s="23">
        <v>15508</v>
      </c>
      <c r="E27" s="23">
        <v>0</v>
      </c>
      <c r="F27" s="40">
        <f t="shared" si="0"/>
        <v>15508</v>
      </c>
      <c r="G27" s="65">
        <f t="shared" si="1"/>
        <v>15774188.579999998</v>
      </c>
      <c r="H27" s="62"/>
      <c r="I27" s="35"/>
      <c r="J27" s="35"/>
    </row>
    <row r="28" spans="2:10" s="3" customFormat="1" ht="14.4" x14ac:dyDescent="0.3">
      <c r="B28" s="33">
        <v>20</v>
      </c>
      <c r="C28" s="31" t="s">
        <v>64</v>
      </c>
      <c r="D28" s="23">
        <v>0</v>
      </c>
      <c r="E28" s="23">
        <v>0</v>
      </c>
      <c r="F28" s="40">
        <f t="shared" si="0"/>
        <v>0</v>
      </c>
      <c r="G28" s="65">
        <f t="shared" si="1"/>
        <v>15774188.579999998</v>
      </c>
      <c r="H28" s="62"/>
      <c r="I28" s="35"/>
      <c r="J28" s="35"/>
    </row>
    <row r="29" spans="2:10" s="3" customFormat="1" ht="14.4" x14ac:dyDescent="0.3">
      <c r="B29" s="33">
        <v>21</v>
      </c>
      <c r="C29" s="31" t="s">
        <v>65</v>
      </c>
      <c r="D29" s="23">
        <v>10407.25</v>
      </c>
      <c r="E29" s="23">
        <v>0</v>
      </c>
      <c r="F29" s="40">
        <f t="shared" si="0"/>
        <v>10407.25</v>
      </c>
      <c r="G29" s="65">
        <f t="shared" si="1"/>
        <v>15784595.829999998</v>
      </c>
      <c r="H29" s="62"/>
      <c r="I29" s="35"/>
      <c r="J29" s="35"/>
    </row>
    <row r="30" spans="2:10" s="3" customFormat="1" ht="14.4" x14ac:dyDescent="0.3">
      <c r="B30" s="33">
        <v>22</v>
      </c>
      <c r="C30" s="31" t="s">
        <v>66</v>
      </c>
      <c r="D30" s="23">
        <v>82007</v>
      </c>
      <c r="E30" s="23">
        <v>0</v>
      </c>
      <c r="F30" s="40">
        <f t="shared" si="0"/>
        <v>82007</v>
      </c>
      <c r="G30" s="65">
        <f t="shared" si="1"/>
        <v>15866602.829999998</v>
      </c>
      <c r="H30" s="62"/>
      <c r="I30" s="35"/>
      <c r="J30" s="35"/>
    </row>
    <row r="31" spans="2:10" s="3" customFormat="1" ht="14.4" x14ac:dyDescent="0.3">
      <c r="B31" s="33">
        <v>23</v>
      </c>
      <c r="C31" s="31" t="s">
        <v>67</v>
      </c>
      <c r="D31" s="23">
        <v>0</v>
      </c>
      <c r="E31" s="23">
        <v>-64311</v>
      </c>
      <c r="F31" s="40">
        <f t="shared" si="0"/>
        <v>-64311</v>
      </c>
      <c r="G31" s="65">
        <f t="shared" si="1"/>
        <v>15802291.829999998</v>
      </c>
      <c r="H31" s="62"/>
      <c r="I31" s="35"/>
      <c r="J31" s="35"/>
    </row>
    <row r="32" spans="2:10" s="3" customFormat="1" ht="14.4" x14ac:dyDescent="0.3">
      <c r="B32" s="33">
        <v>24</v>
      </c>
      <c r="C32" s="31" t="s">
        <v>68</v>
      </c>
      <c r="D32" s="23">
        <v>0</v>
      </c>
      <c r="E32" s="23">
        <v>0</v>
      </c>
      <c r="F32" s="40">
        <f t="shared" ref="F32" si="2">+E32+D32</f>
        <v>0</v>
      </c>
      <c r="G32" s="65">
        <f t="shared" ref="G32" si="3">+G31+F32</f>
        <v>15802291.829999998</v>
      </c>
      <c r="H32" s="62"/>
      <c r="I32" s="35"/>
      <c r="J32" s="35"/>
    </row>
    <row r="33" spans="1:12" s="3" customFormat="1" ht="14.4" x14ac:dyDescent="0.3">
      <c r="B33" s="33">
        <v>25</v>
      </c>
      <c r="C33" s="31" t="s">
        <v>69</v>
      </c>
      <c r="D33" s="23">
        <v>85.5</v>
      </c>
      <c r="E33" s="23">
        <v>0</v>
      </c>
      <c r="F33" s="40">
        <f t="shared" ref="F33" si="4">+E33+D33</f>
        <v>85.5</v>
      </c>
      <c r="G33" s="65">
        <f t="shared" ref="G33" si="5">+G32+F33</f>
        <v>15802377.329999998</v>
      </c>
      <c r="H33" s="62"/>
      <c r="I33" s="35"/>
      <c r="J33" s="35"/>
    </row>
    <row r="34" spans="1:12" s="3" customFormat="1" ht="14.4" x14ac:dyDescent="0.3">
      <c r="B34" s="33">
        <v>26</v>
      </c>
      <c r="C34" s="31" t="s">
        <v>70</v>
      </c>
      <c r="D34" s="23">
        <v>0</v>
      </c>
      <c r="E34" s="23">
        <v>37775</v>
      </c>
      <c r="F34" s="40">
        <f t="shared" ref="F34" si="6">+E34+D34</f>
        <v>37775</v>
      </c>
      <c r="G34" s="65">
        <f t="shared" ref="G34" si="7">+G33+F34</f>
        <v>15840152.329999998</v>
      </c>
      <c r="H34" s="62"/>
      <c r="I34" s="35"/>
      <c r="J34" s="35"/>
    </row>
    <row r="35" spans="1:12" s="3" customFormat="1" ht="14.4" x14ac:dyDescent="0.3">
      <c r="B35" s="33">
        <v>27</v>
      </c>
      <c r="C35" s="31" t="s">
        <v>79</v>
      </c>
      <c r="D35" s="23">
        <v>0</v>
      </c>
      <c r="E35" s="23">
        <v>0</v>
      </c>
      <c r="F35" s="40">
        <f t="shared" ref="F35" si="8">+E35+D35</f>
        <v>0</v>
      </c>
      <c r="G35" s="65">
        <f t="shared" ref="G35" si="9">+G34+F35</f>
        <v>15840152.329999998</v>
      </c>
      <c r="H35" s="62"/>
      <c r="I35" s="35"/>
      <c r="J35" s="35"/>
    </row>
    <row r="36" spans="1:12" s="3" customFormat="1" ht="14.4" x14ac:dyDescent="0.3">
      <c r="B36" s="33">
        <v>28</v>
      </c>
      <c r="C36" s="31" t="s">
        <v>80</v>
      </c>
      <c r="D36" s="23">
        <v>10242</v>
      </c>
      <c r="E36" s="23">
        <v>944585</v>
      </c>
      <c r="F36" s="40">
        <f t="shared" ref="F36" si="10">+E36+D36</f>
        <v>954827</v>
      </c>
      <c r="G36" s="65">
        <f t="shared" ref="G36" si="11">+G35+F36</f>
        <v>16794979.329999998</v>
      </c>
      <c r="H36" s="62"/>
      <c r="I36" s="35"/>
      <c r="J36" s="35"/>
    </row>
    <row r="37" spans="1:12" s="3" customFormat="1" ht="14.4" x14ac:dyDescent="0.3">
      <c r="B37" s="33">
        <v>29</v>
      </c>
      <c r="C37" s="67" t="s">
        <v>81</v>
      </c>
      <c r="D37" s="23">
        <v>0</v>
      </c>
      <c r="E37" s="23">
        <v>0</v>
      </c>
      <c r="F37" s="40">
        <f t="shared" ref="F37:F40" si="12">+E37+D37</f>
        <v>0</v>
      </c>
      <c r="G37" s="65">
        <f t="shared" ref="G37:G40" si="13">+G36+F37</f>
        <v>16794979.329999998</v>
      </c>
      <c r="H37" s="62"/>
      <c r="I37" s="35"/>
      <c r="J37" s="35"/>
    </row>
    <row r="38" spans="1:12" s="3" customFormat="1" ht="14.4" x14ac:dyDescent="0.3">
      <c r="B38" s="33">
        <v>30</v>
      </c>
      <c r="C38" s="67" t="s">
        <v>82</v>
      </c>
      <c r="D38" s="23">
        <v>0</v>
      </c>
      <c r="E38" s="23">
        <v>0</v>
      </c>
      <c r="F38" s="40">
        <f t="shared" si="12"/>
        <v>0</v>
      </c>
      <c r="G38" s="65">
        <f t="shared" si="13"/>
        <v>16794979.329999998</v>
      </c>
      <c r="H38" s="62"/>
      <c r="I38" s="35"/>
      <c r="J38" s="35"/>
    </row>
    <row r="39" spans="1:12" s="3" customFormat="1" ht="14.4" x14ac:dyDescent="0.3">
      <c r="B39" s="33">
        <v>31</v>
      </c>
      <c r="C39" s="67" t="s">
        <v>83</v>
      </c>
      <c r="D39" s="23">
        <v>0</v>
      </c>
      <c r="E39" s="23">
        <v>0</v>
      </c>
      <c r="F39" s="40">
        <f t="shared" si="12"/>
        <v>0</v>
      </c>
      <c r="G39" s="65">
        <f t="shared" si="13"/>
        <v>16794979.329999998</v>
      </c>
      <c r="H39" s="62"/>
      <c r="I39" s="35"/>
      <c r="J39" s="35"/>
    </row>
    <row r="40" spans="1:12" s="3" customFormat="1" ht="14.4" x14ac:dyDescent="0.3">
      <c r="B40" s="33">
        <v>32</v>
      </c>
      <c r="C40" s="67" t="s">
        <v>84</v>
      </c>
      <c r="D40" s="23">
        <v>0</v>
      </c>
      <c r="E40" s="23">
        <v>0</v>
      </c>
      <c r="F40" s="40">
        <f t="shared" si="12"/>
        <v>0</v>
      </c>
      <c r="G40" s="65">
        <f t="shared" si="13"/>
        <v>16794979.329999998</v>
      </c>
      <c r="H40" s="62"/>
      <c r="I40" s="35"/>
      <c r="J40" s="35"/>
    </row>
    <row r="41" spans="1:12" s="3" customFormat="1" ht="14.4" x14ac:dyDescent="0.3">
      <c r="B41" s="33">
        <v>33</v>
      </c>
      <c r="C41" s="67" t="s">
        <v>85</v>
      </c>
      <c r="D41" s="23">
        <v>0</v>
      </c>
      <c r="E41" s="23">
        <f>32871+2414</f>
        <v>35285</v>
      </c>
      <c r="F41" s="40">
        <f t="shared" ref="F41" si="14">+E41+D41</f>
        <v>35285</v>
      </c>
      <c r="G41" s="23">
        <f>+G40+F41</f>
        <v>16830264.329999998</v>
      </c>
      <c r="H41" s="62"/>
      <c r="I41" s="35"/>
      <c r="J41" s="35"/>
    </row>
    <row r="42" spans="1:12" s="3" customFormat="1" ht="14.4" x14ac:dyDescent="0.3">
      <c r="B42" s="33">
        <v>34</v>
      </c>
      <c r="C42" s="67" t="s">
        <v>87</v>
      </c>
      <c r="D42" s="23">
        <v>0</v>
      </c>
      <c r="E42" s="23">
        <v>0</v>
      </c>
      <c r="F42" s="40">
        <v>0</v>
      </c>
      <c r="G42" s="23">
        <f>+G41+F42</f>
        <v>16830264.329999998</v>
      </c>
      <c r="H42" s="62"/>
      <c r="I42" s="35"/>
      <c r="J42" s="10"/>
      <c r="K42" s="1"/>
      <c r="L42" s="32"/>
    </row>
    <row r="43" spans="1:12" s="3" customFormat="1" ht="14.4" x14ac:dyDescent="0.3">
      <c r="B43" s="33">
        <v>35</v>
      </c>
      <c r="C43" s="67" t="s">
        <v>86</v>
      </c>
      <c r="D43" s="23">
        <v>0</v>
      </c>
      <c r="E43" s="23">
        <v>0</v>
      </c>
      <c r="F43" s="40">
        <f>+E43+D43</f>
        <v>0</v>
      </c>
      <c r="G43" s="40">
        <f>+G42+F43</f>
        <v>16830264.329999998</v>
      </c>
      <c r="H43" s="62"/>
      <c r="I43" s="35"/>
      <c r="J43" s="10"/>
      <c r="K43" s="1"/>
      <c r="L43" s="32"/>
    </row>
    <row r="44" spans="1:12" ht="14.4" x14ac:dyDescent="0.3">
      <c r="A44" s="3"/>
      <c r="B44" s="5" t="s">
        <v>45</v>
      </c>
      <c r="C44" s="68" t="s">
        <v>45</v>
      </c>
      <c r="D44" s="69" t="s">
        <v>45</v>
      </c>
      <c r="E44" s="69" t="s">
        <v>45</v>
      </c>
      <c r="F44" s="69" t="s">
        <v>45</v>
      </c>
      <c r="G44" s="69" t="s">
        <v>45</v>
      </c>
      <c r="H44" s="6" t="s">
        <v>45</v>
      </c>
      <c r="I44" s="3"/>
    </row>
    <row r="45" spans="1:12" ht="14.4" x14ac:dyDescent="0.3">
      <c r="A45" s="3"/>
      <c r="B45" s="8" t="s">
        <v>27</v>
      </c>
      <c r="C45" s="70"/>
      <c r="D45" s="69" t="s">
        <v>45</v>
      </c>
      <c r="E45" s="69" t="s">
        <v>45</v>
      </c>
      <c r="F45" s="69" t="s">
        <v>45</v>
      </c>
      <c r="G45" s="69" t="s">
        <v>45</v>
      </c>
      <c r="H45" s="6" t="s">
        <v>45</v>
      </c>
      <c r="I45" s="3"/>
    </row>
    <row r="46" spans="1:12" ht="14.4" x14ac:dyDescent="0.3">
      <c r="A46" s="3"/>
      <c r="B46" s="9" t="s">
        <v>28</v>
      </c>
      <c r="C46" s="5"/>
      <c r="D46" s="6"/>
      <c r="E46" s="6"/>
      <c r="F46" s="71"/>
      <c r="G46" s="71"/>
      <c r="H46" s="72"/>
      <c r="I46" s="3"/>
    </row>
    <row r="47" spans="1:12" ht="14.4" x14ac:dyDescent="0.3">
      <c r="A47" s="3"/>
      <c r="B47" s="9" t="s">
        <v>29</v>
      </c>
      <c r="C47" s="5"/>
      <c r="D47" s="6"/>
      <c r="E47" s="6"/>
      <c r="F47" s="71"/>
      <c r="G47" s="69" t="s">
        <v>45</v>
      </c>
      <c r="H47" s="6" t="s">
        <v>45</v>
      </c>
      <c r="I47" s="3"/>
    </row>
    <row r="48" spans="1:12" ht="14.4" x14ac:dyDescent="0.3">
      <c r="A48" s="3"/>
      <c r="B48" s="9" t="s">
        <v>30</v>
      </c>
      <c r="C48" s="5"/>
      <c r="D48" s="6"/>
      <c r="E48" s="6"/>
      <c r="F48" s="69" t="s">
        <v>45</v>
      </c>
      <c r="G48" s="69" t="s">
        <v>45</v>
      </c>
      <c r="H48" s="6" t="s">
        <v>45</v>
      </c>
      <c r="I48" s="3"/>
    </row>
    <row r="49" spans="1:10" ht="14.4" x14ac:dyDescent="0.3">
      <c r="A49" s="3"/>
      <c r="B49" s="9" t="s">
        <v>45</v>
      </c>
      <c r="C49" s="68" t="s">
        <v>45</v>
      </c>
      <c r="D49" s="69" t="s">
        <v>45</v>
      </c>
      <c r="E49" s="69" t="s">
        <v>45</v>
      </c>
      <c r="F49" s="69" t="s">
        <v>45</v>
      </c>
      <c r="G49" s="69" t="s">
        <v>45</v>
      </c>
      <c r="H49" s="6" t="s">
        <v>45</v>
      </c>
      <c r="I49" s="3"/>
    </row>
    <row r="50" spans="1:10" ht="14.4" x14ac:dyDescent="0.3">
      <c r="A50" s="3"/>
      <c r="B50" s="9" t="s">
        <v>45</v>
      </c>
      <c r="C50" s="68" t="s">
        <v>45</v>
      </c>
      <c r="D50" s="69" t="s">
        <v>45</v>
      </c>
      <c r="E50" s="69" t="s">
        <v>45</v>
      </c>
      <c r="F50" s="69" t="s">
        <v>45</v>
      </c>
      <c r="G50" s="69" t="s">
        <v>45</v>
      </c>
      <c r="H50" s="6" t="s">
        <v>45</v>
      </c>
      <c r="I50" s="3"/>
    </row>
    <row r="51" spans="1:10" ht="18" x14ac:dyDescent="0.35">
      <c r="A51" s="3"/>
      <c r="C51" s="73"/>
      <c r="D51" s="184" t="s">
        <v>31</v>
      </c>
      <c r="E51" s="184"/>
      <c r="F51" s="184"/>
      <c r="G51" s="184"/>
      <c r="H51" s="184"/>
      <c r="I51" s="3"/>
    </row>
    <row r="52" spans="1:10" ht="15.6" x14ac:dyDescent="0.3">
      <c r="A52" s="28"/>
      <c r="B52" s="24" t="s">
        <v>45</v>
      </c>
      <c r="C52" s="74" t="s">
        <v>45</v>
      </c>
      <c r="D52" s="185" t="s">
        <v>46</v>
      </c>
      <c r="E52" s="185"/>
      <c r="F52" s="185"/>
      <c r="G52" s="185"/>
      <c r="H52" s="185"/>
      <c r="I52" s="28"/>
    </row>
    <row r="53" spans="1:10" ht="15.9" customHeight="1" x14ac:dyDescent="0.3">
      <c r="A53" s="3"/>
      <c r="B53" s="132" t="s">
        <v>89</v>
      </c>
      <c r="C53" s="132"/>
      <c r="D53" s="132"/>
      <c r="E53" s="132"/>
      <c r="F53" s="132"/>
      <c r="G53" s="132"/>
      <c r="H53" s="132"/>
      <c r="I53" s="3"/>
    </row>
    <row r="54" spans="1:10" ht="14.4" x14ac:dyDescent="0.3">
      <c r="A54" s="3"/>
      <c r="B54" s="14"/>
      <c r="C54" s="15"/>
      <c r="D54" s="152" t="s">
        <v>6</v>
      </c>
      <c r="E54" s="152"/>
      <c r="F54" s="152"/>
      <c r="G54" s="152"/>
      <c r="H54" s="180" t="s">
        <v>45</v>
      </c>
      <c r="I54" s="3"/>
    </row>
    <row r="55" spans="1:10" ht="14.4" x14ac:dyDescent="0.3">
      <c r="A55" s="3"/>
      <c r="B55" s="12"/>
      <c r="C55" s="13"/>
      <c r="D55" s="155" t="s">
        <v>9</v>
      </c>
      <c r="E55" s="155"/>
      <c r="F55" s="155"/>
      <c r="G55" s="155"/>
      <c r="H55" s="180"/>
      <c r="I55" s="3"/>
    </row>
    <row r="56" spans="1:10" ht="14.4" x14ac:dyDescent="0.3">
      <c r="A56" s="3"/>
      <c r="B56" s="111" t="s">
        <v>10</v>
      </c>
      <c r="C56" s="113" t="s">
        <v>11</v>
      </c>
      <c r="D56" s="44" t="s">
        <v>12</v>
      </c>
      <c r="E56" s="44" t="s">
        <v>13</v>
      </c>
      <c r="F56" s="44" t="s">
        <v>14</v>
      </c>
      <c r="G56" s="57" t="s">
        <v>15</v>
      </c>
      <c r="H56" s="175" t="s">
        <v>45</v>
      </c>
      <c r="I56" s="3"/>
    </row>
    <row r="57" spans="1:10" ht="14.4" x14ac:dyDescent="0.3">
      <c r="A57" s="3"/>
      <c r="B57" s="111"/>
      <c r="C57" s="113"/>
      <c r="D57" s="165" t="s">
        <v>20</v>
      </c>
      <c r="E57" s="165"/>
      <c r="F57" s="165"/>
      <c r="G57" s="165"/>
      <c r="H57" s="175"/>
      <c r="I57" s="3"/>
    </row>
    <row r="58" spans="1:10" ht="14.4" x14ac:dyDescent="0.3">
      <c r="A58" s="3"/>
      <c r="B58" s="33">
        <v>4</v>
      </c>
      <c r="C58" s="58" t="s">
        <v>21</v>
      </c>
      <c r="D58" s="59">
        <v>187898.5</v>
      </c>
      <c r="E58" s="18">
        <v>0</v>
      </c>
      <c r="F58" s="60">
        <v>187898.5</v>
      </c>
      <c r="G58" s="61">
        <f>+F58</f>
        <v>187898.5</v>
      </c>
      <c r="H58" s="62" t="s">
        <v>45</v>
      </c>
      <c r="I58" s="3"/>
    </row>
    <row r="59" spans="1:10" ht="14.4" x14ac:dyDescent="0.3">
      <c r="A59" s="3"/>
      <c r="B59" s="63">
        <v>5</v>
      </c>
      <c r="C59" s="64" t="s">
        <v>22</v>
      </c>
      <c r="D59" s="59">
        <v>1650672.5</v>
      </c>
      <c r="E59" s="23">
        <v>0</v>
      </c>
      <c r="F59" s="60">
        <v>1650672.5</v>
      </c>
      <c r="G59" s="61">
        <f>+G58+F59</f>
        <v>1838571</v>
      </c>
      <c r="H59" s="62" t="s">
        <v>45</v>
      </c>
      <c r="I59" s="3"/>
    </row>
    <row r="60" spans="1:10" ht="14.4" x14ac:dyDescent="0.3">
      <c r="A60" s="3"/>
      <c r="B60" s="63">
        <v>6</v>
      </c>
      <c r="C60" s="64" t="s">
        <v>23</v>
      </c>
      <c r="D60" s="59">
        <v>2517090.29</v>
      </c>
      <c r="E60" s="23">
        <v>0</v>
      </c>
      <c r="F60" s="60">
        <v>2517090.29</v>
      </c>
      <c r="G60" s="61">
        <f>+G59+F60</f>
        <v>4355661.29</v>
      </c>
      <c r="H60" s="62" t="s">
        <v>45</v>
      </c>
    </row>
    <row r="61" spans="1:10" ht="14.4" x14ac:dyDescent="0.3">
      <c r="A61" s="3"/>
      <c r="B61" s="63">
        <v>7</v>
      </c>
      <c r="C61" s="64" t="s">
        <v>24</v>
      </c>
      <c r="D61" s="59">
        <v>1362926.72</v>
      </c>
      <c r="E61" s="23">
        <v>383556.5</v>
      </c>
      <c r="F61" s="60">
        <f>1362926.72+383556.5</f>
        <v>1746483.22</v>
      </c>
      <c r="G61" s="61">
        <f>+G60+F61</f>
        <v>6102144.5099999998</v>
      </c>
      <c r="H61" s="62" t="s">
        <v>45</v>
      </c>
      <c r="I61" s="3"/>
    </row>
    <row r="62" spans="1:10" s="3" customFormat="1" ht="14.4" x14ac:dyDescent="0.3">
      <c r="B62" s="33">
        <v>8</v>
      </c>
      <c r="C62" s="31" t="s">
        <v>25</v>
      </c>
      <c r="D62" s="23">
        <v>1329656.5</v>
      </c>
      <c r="E62" s="23">
        <v>0</v>
      </c>
      <c r="F62" s="40">
        <f t="shared" ref="F62:F82" si="15">+E62+D62</f>
        <v>1329656.5</v>
      </c>
      <c r="G62" s="65">
        <f>+G61+F62</f>
        <v>7431801.0099999998</v>
      </c>
      <c r="H62" s="62"/>
      <c r="I62" s="10"/>
    </row>
    <row r="63" spans="1:10" s="3" customFormat="1" ht="14.4" x14ac:dyDescent="0.3">
      <c r="B63" s="33">
        <v>9</v>
      </c>
      <c r="C63" s="31" t="s">
        <v>26</v>
      </c>
      <c r="D63" s="23">
        <v>723423.01</v>
      </c>
      <c r="E63" s="23">
        <v>0</v>
      </c>
      <c r="F63" s="40">
        <f t="shared" si="15"/>
        <v>723423.01</v>
      </c>
      <c r="G63" s="65">
        <f t="shared" ref="G63:G82" si="16">+G62+F63</f>
        <v>8155224.0199999996</v>
      </c>
      <c r="H63" s="62"/>
      <c r="I63" s="35"/>
      <c r="J63" s="35"/>
    </row>
    <row r="64" spans="1:10" s="3" customFormat="1" ht="14.4" x14ac:dyDescent="0.3">
      <c r="B64" s="33">
        <v>10</v>
      </c>
      <c r="C64" s="31" t="s">
        <v>55</v>
      </c>
      <c r="D64" s="23">
        <v>1531718</v>
      </c>
      <c r="E64" s="23">
        <v>0</v>
      </c>
      <c r="F64" s="40">
        <f t="shared" si="15"/>
        <v>1531718</v>
      </c>
      <c r="G64" s="65">
        <f t="shared" si="16"/>
        <v>9686942.0199999996</v>
      </c>
      <c r="H64" s="62"/>
      <c r="I64" s="35"/>
      <c r="J64" s="35"/>
    </row>
    <row r="65" spans="2:10" s="3" customFormat="1" ht="14.4" x14ac:dyDescent="0.3">
      <c r="B65" s="33">
        <v>11</v>
      </c>
      <c r="C65" s="31" t="s">
        <v>56</v>
      </c>
      <c r="D65" s="23">
        <v>454505</v>
      </c>
      <c r="E65" s="23">
        <v>0</v>
      </c>
      <c r="F65" s="40">
        <f t="shared" si="15"/>
        <v>454505</v>
      </c>
      <c r="G65" s="65">
        <f t="shared" si="16"/>
        <v>10141447.02</v>
      </c>
      <c r="H65" s="62"/>
      <c r="I65" s="35"/>
      <c r="J65" s="35"/>
    </row>
    <row r="66" spans="2:10" s="3" customFormat="1" ht="14.4" x14ac:dyDescent="0.3">
      <c r="B66" s="33">
        <v>12</v>
      </c>
      <c r="C66" s="31" t="s">
        <v>71</v>
      </c>
      <c r="D66" s="23">
        <v>280149.5</v>
      </c>
      <c r="E66" s="23">
        <v>0</v>
      </c>
      <c r="F66" s="40">
        <f t="shared" si="15"/>
        <v>280149.5</v>
      </c>
      <c r="G66" s="65">
        <f t="shared" si="16"/>
        <v>10421596.52</v>
      </c>
      <c r="H66" s="62"/>
      <c r="I66" s="35"/>
      <c r="J66" s="35"/>
    </row>
    <row r="67" spans="2:10" s="3" customFormat="1" ht="14.4" x14ac:dyDescent="0.3">
      <c r="B67" s="33">
        <v>13</v>
      </c>
      <c r="C67" s="31" t="s">
        <v>57</v>
      </c>
      <c r="D67" s="23">
        <v>383632.51</v>
      </c>
      <c r="E67" s="23">
        <v>-12755</v>
      </c>
      <c r="F67" s="40">
        <f t="shared" si="15"/>
        <v>370877.51</v>
      </c>
      <c r="G67" s="65">
        <f t="shared" si="16"/>
        <v>10792474.029999999</v>
      </c>
      <c r="H67" s="62"/>
      <c r="I67" s="35"/>
      <c r="J67" s="35"/>
    </row>
    <row r="68" spans="2:10" s="3" customFormat="1" ht="15.6" customHeight="1" x14ac:dyDescent="0.3">
      <c r="B68" s="33">
        <v>14</v>
      </c>
      <c r="C68" s="49" t="s">
        <v>58</v>
      </c>
      <c r="D68" s="23">
        <v>30384.5</v>
      </c>
      <c r="E68" s="23">
        <v>0</v>
      </c>
      <c r="F68" s="40">
        <f t="shared" si="15"/>
        <v>30384.5</v>
      </c>
      <c r="G68" s="65">
        <f t="shared" si="16"/>
        <v>10822858.529999999</v>
      </c>
      <c r="H68" s="62"/>
      <c r="I68" s="35"/>
      <c r="J68" s="35"/>
    </row>
    <row r="69" spans="2:10" s="3" customFormat="1" ht="14.4" x14ac:dyDescent="0.3">
      <c r="B69" s="33">
        <v>15</v>
      </c>
      <c r="C69" s="31" t="s">
        <v>59</v>
      </c>
      <c r="D69" s="23">
        <v>23615.5</v>
      </c>
      <c r="E69" s="23">
        <v>0</v>
      </c>
      <c r="F69" s="40">
        <f t="shared" si="15"/>
        <v>23615.5</v>
      </c>
      <c r="G69" s="65">
        <f t="shared" si="16"/>
        <v>10846474.029999999</v>
      </c>
      <c r="H69" s="62"/>
      <c r="I69" s="35"/>
      <c r="J69" s="35"/>
    </row>
    <row r="70" spans="2:10" s="3" customFormat="1" ht="14.4" x14ac:dyDescent="0.3">
      <c r="B70" s="33">
        <v>16</v>
      </c>
      <c r="C70" s="31" t="s">
        <v>60</v>
      </c>
      <c r="D70" s="23">
        <v>102010</v>
      </c>
      <c r="E70" s="23">
        <v>0</v>
      </c>
      <c r="F70" s="40">
        <f t="shared" si="15"/>
        <v>102010</v>
      </c>
      <c r="G70" s="65">
        <f t="shared" si="16"/>
        <v>10948484.029999999</v>
      </c>
      <c r="H70" s="62"/>
      <c r="I70" s="35"/>
      <c r="J70" s="35"/>
    </row>
    <row r="71" spans="2:10" s="3" customFormat="1" ht="14.4" x14ac:dyDescent="0.3">
      <c r="B71" s="33">
        <v>17</v>
      </c>
      <c r="C71" s="31" t="s">
        <v>61</v>
      </c>
      <c r="D71" s="23">
        <v>5522</v>
      </c>
      <c r="E71" s="23">
        <v>0</v>
      </c>
      <c r="F71" s="40">
        <f t="shared" si="15"/>
        <v>5522</v>
      </c>
      <c r="G71" s="65">
        <f t="shared" si="16"/>
        <v>10954006.029999999</v>
      </c>
      <c r="H71" s="62"/>
      <c r="I71" s="35"/>
      <c r="J71" s="35"/>
    </row>
    <row r="72" spans="2:10" s="3" customFormat="1" ht="14.4" x14ac:dyDescent="0.3">
      <c r="B72" s="33">
        <v>18</v>
      </c>
      <c r="C72" s="31" t="s">
        <v>62</v>
      </c>
      <c r="D72" s="23">
        <v>4572</v>
      </c>
      <c r="E72" s="23">
        <v>0</v>
      </c>
      <c r="F72" s="40">
        <f t="shared" si="15"/>
        <v>4572</v>
      </c>
      <c r="G72" s="65">
        <f t="shared" si="16"/>
        <v>10958578.029999999</v>
      </c>
      <c r="H72" s="62"/>
      <c r="I72" s="35"/>
      <c r="J72" s="35"/>
    </row>
    <row r="73" spans="2:10" s="3" customFormat="1" ht="14.4" x14ac:dyDescent="0.3">
      <c r="B73" s="33">
        <v>19</v>
      </c>
      <c r="C73" s="31" t="s">
        <v>63</v>
      </c>
      <c r="D73" s="23">
        <v>308</v>
      </c>
      <c r="E73" s="23">
        <v>0</v>
      </c>
      <c r="F73" s="40">
        <f t="shared" si="15"/>
        <v>308</v>
      </c>
      <c r="G73" s="65">
        <f t="shared" si="16"/>
        <v>10958886.029999999</v>
      </c>
      <c r="H73" s="62"/>
      <c r="I73" s="35"/>
      <c r="J73" s="35"/>
    </row>
    <row r="74" spans="2:10" s="3" customFormat="1" ht="14.4" x14ac:dyDescent="0.3">
      <c r="B74" s="33">
        <v>20</v>
      </c>
      <c r="C74" s="31" t="s">
        <v>64</v>
      </c>
      <c r="D74" s="23">
        <v>0</v>
      </c>
      <c r="E74" s="23">
        <v>0</v>
      </c>
      <c r="F74" s="40">
        <f t="shared" si="15"/>
        <v>0</v>
      </c>
      <c r="G74" s="65">
        <f t="shared" si="16"/>
        <v>10958886.029999999</v>
      </c>
      <c r="H74" s="62"/>
      <c r="I74" s="35"/>
      <c r="J74" s="35"/>
    </row>
    <row r="75" spans="2:10" s="3" customFormat="1" ht="14.4" x14ac:dyDescent="0.3">
      <c r="B75" s="33">
        <v>21</v>
      </c>
      <c r="C75" s="31" t="s">
        <v>65</v>
      </c>
      <c r="D75" s="23">
        <v>3350.5</v>
      </c>
      <c r="E75" s="23">
        <v>0</v>
      </c>
      <c r="F75" s="40">
        <f t="shared" si="15"/>
        <v>3350.5</v>
      </c>
      <c r="G75" s="65">
        <f t="shared" si="16"/>
        <v>10962236.529999999</v>
      </c>
      <c r="H75" s="62"/>
      <c r="I75" s="35"/>
      <c r="J75" s="35"/>
    </row>
    <row r="76" spans="2:10" s="3" customFormat="1" ht="14.4" x14ac:dyDescent="0.3">
      <c r="B76" s="33">
        <v>22</v>
      </c>
      <c r="C76" s="31" t="s">
        <v>66</v>
      </c>
      <c r="D76" s="23">
        <v>0</v>
      </c>
      <c r="E76" s="23">
        <v>0</v>
      </c>
      <c r="F76" s="40">
        <f t="shared" si="15"/>
        <v>0</v>
      </c>
      <c r="G76" s="65">
        <f t="shared" si="16"/>
        <v>10962236.529999999</v>
      </c>
      <c r="H76" s="62"/>
      <c r="I76" s="35"/>
      <c r="J76" s="35"/>
    </row>
    <row r="77" spans="2:10" s="3" customFormat="1" ht="14.4" x14ac:dyDescent="0.3">
      <c r="B77" s="33">
        <v>23</v>
      </c>
      <c r="C77" s="31" t="s">
        <v>67</v>
      </c>
      <c r="D77" s="23">
        <v>0</v>
      </c>
      <c r="E77" s="23">
        <v>-69279</v>
      </c>
      <c r="F77" s="40">
        <f t="shared" si="15"/>
        <v>-69279</v>
      </c>
      <c r="G77" s="65">
        <f t="shared" si="16"/>
        <v>10892957.529999999</v>
      </c>
      <c r="H77" s="62"/>
      <c r="I77" s="35"/>
      <c r="J77" s="35"/>
    </row>
    <row r="78" spans="2:10" s="3" customFormat="1" ht="14.4" x14ac:dyDescent="0.3">
      <c r="B78" s="33">
        <v>24</v>
      </c>
      <c r="C78" s="31" t="s">
        <v>68</v>
      </c>
      <c r="D78" s="23">
        <v>0</v>
      </c>
      <c r="E78" s="23">
        <v>0</v>
      </c>
      <c r="F78" s="40">
        <f t="shared" si="15"/>
        <v>0</v>
      </c>
      <c r="G78" s="65">
        <f t="shared" si="16"/>
        <v>10892957.529999999</v>
      </c>
      <c r="H78" s="62"/>
      <c r="I78" s="35"/>
      <c r="J78" s="35"/>
    </row>
    <row r="79" spans="2:10" s="3" customFormat="1" ht="14.4" x14ac:dyDescent="0.3">
      <c r="B79" s="33">
        <v>25</v>
      </c>
      <c r="C79" s="67" t="s">
        <v>69</v>
      </c>
      <c r="D79" s="23">
        <v>85.5</v>
      </c>
      <c r="E79" s="23">
        <v>0</v>
      </c>
      <c r="F79" s="40">
        <f t="shared" si="15"/>
        <v>85.5</v>
      </c>
      <c r="G79" s="65">
        <f t="shared" si="16"/>
        <v>10893043.029999999</v>
      </c>
      <c r="H79" s="62"/>
      <c r="I79" s="35"/>
      <c r="J79" s="35"/>
    </row>
    <row r="80" spans="2:10" s="3" customFormat="1" ht="14.4" x14ac:dyDescent="0.3">
      <c r="B80" s="33">
        <v>26</v>
      </c>
      <c r="C80" s="31" t="s">
        <v>70</v>
      </c>
      <c r="D80" s="23">
        <v>0</v>
      </c>
      <c r="E80" s="23">
        <v>37775</v>
      </c>
      <c r="F80" s="40">
        <f t="shared" si="15"/>
        <v>37775</v>
      </c>
      <c r="G80" s="65">
        <f t="shared" si="16"/>
        <v>10930818.029999999</v>
      </c>
      <c r="H80" s="62"/>
      <c r="I80" s="35"/>
      <c r="J80" s="35"/>
    </row>
    <row r="81" spans="1:12" s="3" customFormat="1" ht="14.4" x14ac:dyDescent="0.3">
      <c r="B81" s="33">
        <v>27</v>
      </c>
      <c r="C81" s="31" t="s">
        <v>79</v>
      </c>
      <c r="D81" s="23">
        <v>0</v>
      </c>
      <c r="E81" s="23"/>
      <c r="F81" s="40">
        <f t="shared" si="15"/>
        <v>0</v>
      </c>
      <c r="G81" s="65">
        <f t="shared" si="16"/>
        <v>10930818.029999999</v>
      </c>
      <c r="H81" s="62"/>
      <c r="I81" s="35"/>
      <c r="J81" s="35"/>
    </row>
    <row r="82" spans="1:12" s="3" customFormat="1" ht="14.4" x14ac:dyDescent="0.3">
      <c r="B82" s="33">
        <v>28</v>
      </c>
      <c r="C82" s="67" t="s">
        <v>80</v>
      </c>
      <c r="D82" s="23">
        <v>10242</v>
      </c>
      <c r="E82" s="23">
        <v>10839</v>
      </c>
      <c r="F82" s="40">
        <f t="shared" si="15"/>
        <v>21081</v>
      </c>
      <c r="G82" s="65">
        <f t="shared" si="16"/>
        <v>10951899.029999999</v>
      </c>
      <c r="H82" s="62"/>
      <c r="I82" s="35"/>
      <c r="J82" s="35"/>
    </row>
    <row r="83" spans="1:12" s="3" customFormat="1" ht="14.4" x14ac:dyDescent="0.3">
      <c r="B83" s="33">
        <v>29</v>
      </c>
      <c r="C83" s="67" t="s">
        <v>81</v>
      </c>
      <c r="D83" s="23">
        <v>0</v>
      </c>
      <c r="E83" s="23">
        <v>0</v>
      </c>
      <c r="F83" s="40">
        <f t="shared" ref="F83:F87" si="17">+E83+D83</f>
        <v>0</v>
      </c>
      <c r="G83" s="65">
        <f t="shared" ref="G83:G86" si="18">+G82+F83</f>
        <v>10951899.029999999</v>
      </c>
      <c r="H83" s="62"/>
      <c r="I83" s="35"/>
      <c r="J83" s="35"/>
    </row>
    <row r="84" spans="1:12" s="3" customFormat="1" ht="14.4" x14ac:dyDescent="0.3">
      <c r="B84" s="33">
        <v>30</v>
      </c>
      <c r="C84" s="67" t="s">
        <v>82</v>
      </c>
      <c r="D84" s="23">
        <v>0</v>
      </c>
      <c r="E84" s="23">
        <v>0</v>
      </c>
      <c r="F84" s="40">
        <f t="shared" si="17"/>
        <v>0</v>
      </c>
      <c r="G84" s="65">
        <f t="shared" si="18"/>
        <v>10951899.029999999</v>
      </c>
      <c r="H84" s="62"/>
      <c r="I84" s="35"/>
      <c r="J84" s="35"/>
    </row>
    <row r="85" spans="1:12" s="3" customFormat="1" ht="14.4" x14ac:dyDescent="0.3">
      <c r="B85" s="33">
        <v>31</v>
      </c>
      <c r="C85" s="67" t="s">
        <v>83</v>
      </c>
      <c r="D85" s="23">
        <v>0</v>
      </c>
      <c r="E85" s="23">
        <v>0</v>
      </c>
      <c r="F85" s="40">
        <f t="shared" si="17"/>
        <v>0</v>
      </c>
      <c r="G85" s="65">
        <f t="shared" si="18"/>
        <v>10951899.029999999</v>
      </c>
      <c r="H85" s="62"/>
      <c r="I85" s="35"/>
      <c r="J85" s="35"/>
    </row>
    <row r="86" spans="1:12" s="3" customFormat="1" ht="14.4" x14ac:dyDescent="0.3">
      <c r="B86" s="33">
        <v>32</v>
      </c>
      <c r="C86" s="67" t="s">
        <v>84</v>
      </c>
      <c r="D86" s="23">
        <v>0</v>
      </c>
      <c r="E86" s="23">
        <v>0</v>
      </c>
      <c r="F86" s="40">
        <f t="shared" si="17"/>
        <v>0</v>
      </c>
      <c r="G86" s="65">
        <f t="shared" si="18"/>
        <v>10951899.029999999</v>
      </c>
      <c r="H86" s="62"/>
      <c r="I86" s="35"/>
      <c r="J86" s="35"/>
    </row>
    <row r="87" spans="1:12" s="3" customFormat="1" ht="14.4" x14ac:dyDescent="0.3">
      <c r="B87" s="33">
        <v>33</v>
      </c>
      <c r="C87" s="67" t="s">
        <v>85</v>
      </c>
      <c r="D87" s="23">
        <v>0</v>
      </c>
      <c r="E87" s="23">
        <f>32871+2414</f>
        <v>35285</v>
      </c>
      <c r="F87" s="40">
        <f t="shared" si="17"/>
        <v>35285</v>
      </c>
      <c r="G87" s="65">
        <f>+G86+F87</f>
        <v>10987184.029999999</v>
      </c>
      <c r="H87" s="62"/>
      <c r="I87" s="35"/>
      <c r="J87" s="35"/>
    </row>
    <row r="88" spans="1:12" s="3" customFormat="1" ht="14.4" x14ac:dyDescent="0.3">
      <c r="B88" s="33">
        <v>34</v>
      </c>
      <c r="C88" s="67" t="s">
        <v>87</v>
      </c>
      <c r="D88" s="23">
        <v>0</v>
      </c>
      <c r="E88" s="23">
        <v>0</v>
      </c>
      <c r="F88" s="40">
        <v>0</v>
      </c>
      <c r="G88" s="23">
        <f>+G87+F88</f>
        <v>10987184.029999999</v>
      </c>
      <c r="H88" s="62"/>
      <c r="I88" s="35"/>
      <c r="J88" s="10"/>
      <c r="K88" s="1"/>
      <c r="L88" s="32"/>
    </row>
    <row r="89" spans="1:12" s="3" customFormat="1" ht="14.4" x14ac:dyDescent="0.3">
      <c r="B89" s="33">
        <v>35</v>
      </c>
      <c r="C89" s="67" t="s">
        <v>86</v>
      </c>
      <c r="D89" s="23">
        <v>0</v>
      </c>
      <c r="E89" s="23">
        <v>0</v>
      </c>
      <c r="F89" s="40">
        <f>+E89+D89</f>
        <v>0</v>
      </c>
      <c r="G89" s="40">
        <f>+G88+F89</f>
        <v>10987184.029999999</v>
      </c>
      <c r="H89" s="62"/>
      <c r="I89" s="35"/>
      <c r="J89" s="10"/>
      <c r="K89" s="1"/>
      <c r="L89" s="32"/>
    </row>
    <row r="90" spans="1:12" ht="14.4" x14ac:dyDescent="0.3">
      <c r="A90" s="3"/>
      <c r="B90" s="5" t="s">
        <v>45</v>
      </c>
      <c r="C90" s="68" t="s">
        <v>45</v>
      </c>
      <c r="D90" s="69" t="s">
        <v>45</v>
      </c>
      <c r="E90" s="69" t="s">
        <v>45</v>
      </c>
      <c r="F90" s="69" t="s">
        <v>45</v>
      </c>
      <c r="G90" s="69" t="s">
        <v>45</v>
      </c>
      <c r="H90" s="6" t="s">
        <v>45</v>
      </c>
      <c r="I90" s="3"/>
    </row>
    <row r="91" spans="1:12" ht="14.4" x14ac:dyDescent="0.3">
      <c r="A91" s="3"/>
      <c r="B91" s="8" t="s">
        <v>27</v>
      </c>
      <c r="C91" s="70"/>
      <c r="D91" s="69" t="s">
        <v>45</v>
      </c>
      <c r="E91" s="69" t="s">
        <v>45</v>
      </c>
      <c r="F91" s="69" t="s">
        <v>45</v>
      </c>
      <c r="G91" s="69" t="s">
        <v>45</v>
      </c>
      <c r="H91" s="6" t="s">
        <v>45</v>
      </c>
      <c r="I91" s="3"/>
    </row>
    <row r="92" spans="1:12" ht="14.4" x14ac:dyDescent="0.3">
      <c r="A92" s="3"/>
      <c r="B92" s="9" t="s">
        <v>28</v>
      </c>
      <c r="C92" s="5"/>
      <c r="D92" s="6"/>
      <c r="E92" s="6"/>
      <c r="F92" s="71"/>
      <c r="G92" s="71"/>
      <c r="H92" s="72"/>
      <c r="I92" s="3"/>
    </row>
    <row r="93" spans="1:12" ht="14.4" x14ac:dyDescent="0.3">
      <c r="A93" s="3"/>
      <c r="B93" s="9" t="s">
        <v>29</v>
      </c>
      <c r="C93" s="5"/>
      <c r="D93" s="6"/>
      <c r="E93" s="6"/>
      <c r="F93" s="71"/>
      <c r="G93" s="69" t="s">
        <v>45</v>
      </c>
      <c r="H93" s="6" t="s">
        <v>45</v>
      </c>
      <c r="I93" s="3"/>
    </row>
    <row r="94" spans="1:12" ht="14.4" x14ac:dyDescent="0.3">
      <c r="A94" s="3"/>
      <c r="B94" s="9" t="s">
        <v>30</v>
      </c>
      <c r="C94" s="5"/>
      <c r="D94" s="6"/>
      <c r="E94" s="6"/>
      <c r="F94" s="69" t="s">
        <v>45</v>
      </c>
      <c r="G94" s="69" t="s">
        <v>45</v>
      </c>
      <c r="H94" s="6" t="s">
        <v>45</v>
      </c>
      <c r="I94" s="3"/>
    </row>
    <row r="95" spans="1:12" ht="14.4" x14ac:dyDescent="0.3">
      <c r="A95" s="3"/>
      <c r="B95" s="10"/>
      <c r="C95" s="73"/>
      <c r="D95" s="75"/>
      <c r="E95" s="75"/>
      <c r="F95" s="75"/>
      <c r="G95" s="75"/>
      <c r="H95" s="35"/>
      <c r="I95" s="3"/>
    </row>
    <row r="96" spans="1:12" ht="14.4" x14ac:dyDescent="0.3">
      <c r="A96" s="3"/>
      <c r="B96" s="10"/>
      <c r="C96" s="73"/>
      <c r="D96" s="75"/>
      <c r="E96" s="75"/>
      <c r="F96" s="75"/>
      <c r="G96" s="75"/>
      <c r="H96" s="35"/>
      <c r="I96" s="3"/>
    </row>
    <row r="97" spans="1:10" ht="18" x14ac:dyDescent="0.35">
      <c r="A97" s="3"/>
      <c r="C97" s="73"/>
      <c r="D97" s="182" t="s">
        <v>33</v>
      </c>
      <c r="E97" s="182"/>
      <c r="F97" s="182"/>
      <c r="G97" s="182"/>
      <c r="H97" s="182"/>
      <c r="I97" s="3"/>
    </row>
    <row r="98" spans="1:10" ht="15.6" x14ac:dyDescent="0.3">
      <c r="A98" s="28"/>
      <c r="B98" s="24" t="s">
        <v>45</v>
      </c>
      <c r="C98" s="74" t="s">
        <v>45</v>
      </c>
      <c r="D98" s="183" t="s">
        <v>46</v>
      </c>
      <c r="E98" s="183"/>
      <c r="F98" s="183"/>
      <c r="G98" s="183"/>
      <c r="H98" s="183"/>
      <c r="I98" s="28"/>
    </row>
    <row r="99" spans="1:10" ht="15.9" customHeight="1" x14ac:dyDescent="0.3">
      <c r="A99" s="3"/>
      <c r="B99" s="132" t="s">
        <v>89</v>
      </c>
      <c r="C99" s="132"/>
      <c r="D99" s="132"/>
      <c r="E99" s="132"/>
      <c r="F99" s="132"/>
      <c r="G99" s="132"/>
      <c r="H99" s="132"/>
      <c r="I99" s="3"/>
    </row>
    <row r="100" spans="1:10" ht="14.4" x14ac:dyDescent="0.3">
      <c r="A100" s="3"/>
      <c r="B100" s="14"/>
      <c r="C100" s="15"/>
      <c r="D100" s="152" t="s">
        <v>6</v>
      </c>
      <c r="E100" s="152"/>
      <c r="F100" s="152"/>
      <c r="G100" s="152"/>
      <c r="H100" s="180" t="s">
        <v>45</v>
      </c>
      <c r="I100" s="3"/>
    </row>
    <row r="101" spans="1:10" ht="14.4" x14ac:dyDescent="0.3">
      <c r="A101" s="3"/>
      <c r="B101" s="12"/>
      <c r="C101" s="13"/>
      <c r="D101" s="155" t="s">
        <v>9</v>
      </c>
      <c r="E101" s="155"/>
      <c r="F101" s="155"/>
      <c r="G101" s="155"/>
      <c r="H101" s="180"/>
      <c r="I101" s="3"/>
    </row>
    <row r="102" spans="1:10" ht="14.4" x14ac:dyDescent="0.3">
      <c r="A102" s="3"/>
      <c r="B102" s="111" t="s">
        <v>10</v>
      </c>
      <c r="C102" s="113" t="s">
        <v>11</v>
      </c>
      <c r="D102" s="44" t="s">
        <v>12</v>
      </c>
      <c r="E102" s="44" t="s">
        <v>13</v>
      </c>
      <c r="F102" s="44" t="s">
        <v>14</v>
      </c>
      <c r="G102" s="57" t="s">
        <v>15</v>
      </c>
      <c r="H102" s="175" t="s">
        <v>45</v>
      </c>
      <c r="I102" s="3"/>
    </row>
    <row r="103" spans="1:10" ht="14.4" x14ac:dyDescent="0.3">
      <c r="A103" s="3"/>
      <c r="B103" s="111"/>
      <c r="C103" s="113"/>
      <c r="D103" s="165" t="s">
        <v>20</v>
      </c>
      <c r="E103" s="165"/>
      <c r="F103" s="165"/>
      <c r="G103" s="165"/>
      <c r="H103" s="175"/>
      <c r="I103" s="3"/>
    </row>
    <row r="104" spans="1:10" ht="14.4" x14ac:dyDescent="0.3">
      <c r="A104" s="3"/>
      <c r="B104" s="33">
        <v>4</v>
      </c>
      <c r="C104" s="58" t="s">
        <v>21</v>
      </c>
      <c r="D104" s="18">
        <v>0</v>
      </c>
      <c r="E104" s="18">
        <v>0</v>
      </c>
      <c r="F104" s="18">
        <v>0</v>
      </c>
      <c r="G104" s="18">
        <v>0</v>
      </c>
      <c r="H104" s="62" t="s">
        <v>45</v>
      </c>
      <c r="I104" s="3"/>
    </row>
    <row r="105" spans="1:10" ht="14.4" x14ac:dyDescent="0.3">
      <c r="A105" s="3"/>
      <c r="B105" s="63">
        <v>5</v>
      </c>
      <c r="C105" s="64" t="s">
        <v>22</v>
      </c>
      <c r="D105" s="59">
        <v>59122.5</v>
      </c>
      <c r="E105" s="23">
        <v>0</v>
      </c>
      <c r="F105" s="60">
        <v>59122.5</v>
      </c>
      <c r="G105" s="61">
        <f>+F105</f>
        <v>59122.5</v>
      </c>
      <c r="H105" s="62" t="s">
        <v>45</v>
      </c>
      <c r="I105" s="3"/>
    </row>
    <row r="106" spans="1:10" ht="14.4" x14ac:dyDescent="0.3">
      <c r="A106" s="3"/>
      <c r="B106" s="63">
        <v>6</v>
      </c>
      <c r="C106" s="64" t="s">
        <v>23</v>
      </c>
      <c r="D106" s="59">
        <v>372395</v>
      </c>
      <c r="E106" s="23">
        <v>0</v>
      </c>
      <c r="F106" s="60">
        <v>372395.5</v>
      </c>
      <c r="G106" s="61">
        <f>+G105+F106</f>
        <v>431518</v>
      </c>
      <c r="H106" s="62" t="s">
        <v>45</v>
      </c>
      <c r="I106" s="3"/>
    </row>
    <row r="107" spans="1:10" ht="14.4" x14ac:dyDescent="0.3">
      <c r="A107" s="3"/>
      <c r="B107" s="63">
        <v>7</v>
      </c>
      <c r="C107" s="64" t="s">
        <v>24</v>
      </c>
      <c r="D107" s="59">
        <v>134343.5</v>
      </c>
      <c r="E107" s="23">
        <v>447506</v>
      </c>
      <c r="F107" s="60">
        <v>581849.5</v>
      </c>
      <c r="G107" s="61">
        <v>1013367</v>
      </c>
      <c r="H107" s="62" t="s">
        <v>45</v>
      </c>
      <c r="I107" s="3"/>
    </row>
    <row r="108" spans="1:10" s="3" customFormat="1" ht="14.4" x14ac:dyDescent="0.3">
      <c r="B108" s="33">
        <v>8</v>
      </c>
      <c r="C108" s="31" t="s">
        <v>25</v>
      </c>
      <c r="D108" s="23">
        <v>456216</v>
      </c>
      <c r="E108" s="23">
        <v>0</v>
      </c>
      <c r="F108" s="40">
        <f t="shared" ref="F108:F128" si="19">+E108+D108</f>
        <v>456216</v>
      </c>
      <c r="G108" s="65">
        <f>+G107+F108</f>
        <v>1469583</v>
      </c>
      <c r="H108" s="62"/>
      <c r="I108" s="10"/>
    </row>
    <row r="109" spans="1:10" s="3" customFormat="1" ht="14.4" x14ac:dyDescent="0.3">
      <c r="B109" s="33">
        <v>9</v>
      </c>
      <c r="C109" s="31" t="s">
        <v>26</v>
      </c>
      <c r="D109" s="23">
        <v>670473.02</v>
      </c>
      <c r="E109" s="23">
        <v>0</v>
      </c>
      <c r="F109" s="40">
        <f t="shared" si="19"/>
        <v>670473.02</v>
      </c>
      <c r="G109" s="65">
        <f t="shared" ref="G109:G128" si="20">+G108+F109</f>
        <v>2140056.02</v>
      </c>
      <c r="H109" s="62"/>
      <c r="I109" s="35"/>
      <c r="J109" s="35"/>
    </row>
    <row r="110" spans="1:10" s="3" customFormat="1" ht="14.4" x14ac:dyDescent="0.3">
      <c r="B110" s="33">
        <v>10</v>
      </c>
      <c r="C110" s="31" t="s">
        <v>55</v>
      </c>
      <c r="D110" s="23">
        <v>406915.5</v>
      </c>
      <c r="E110" s="23">
        <v>0</v>
      </c>
      <c r="F110" s="40">
        <f t="shared" si="19"/>
        <v>406915.5</v>
      </c>
      <c r="G110" s="65">
        <f t="shared" si="20"/>
        <v>2546971.52</v>
      </c>
      <c r="H110" s="62"/>
      <c r="I110" s="35"/>
      <c r="J110" s="35"/>
    </row>
    <row r="111" spans="1:10" s="3" customFormat="1" ht="14.4" x14ac:dyDescent="0.3">
      <c r="B111" s="33">
        <v>11</v>
      </c>
      <c r="C111" s="31" t="s">
        <v>56</v>
      </c>
      <c r="D111" s="23">
        <v>469679.5</v>
      </c>
      <c r="E111" s="23">
        <v>0</v>
      </c>
      <c r="F111" s="40">
        <f t="shared" si="19"/>
        <v>469679.5</v>
      </c>
      <c r="G111" s="65">
        <f t="shared" si="20"/>
        <v>3016651.02</v>
      </c>
      <c r="H111" s="62"/>
      <c r="I111" s="35"/>
      <c r="J111" s="35"/>
    </row>
    <row r="112" spans="1:10" s="3" customFormat="1" ht="14.4" x14ac:dyDescent="0.3">
      <c r="B112" s="33">
        <v>12</v>
      </c>
      <c r="C112" s="31" t="s">
        <v>71</v>
      </c>
      <c r="D112" s="23">
        <v>700853.51</v>
      </c>
      <c r="E112" s="23">
        <v>0</v>
      </c>
      <c r="F112" s="40">
        <f t="shared" si="19"/>
        <v>700853.51</v>
      </c>
      <c r="G112" s="65">
        <f t="shared" si="20"/>
        <v>3717504.5300000003</v>
      </c>
      <c r="H112" s="62"/>
      <c r="I112" s="35"/>
      <c r="J112" s="35"/>
    </row>
    <row r="113" spans="2:10" s="3" customFormat="1" ht="14.4" x14ac:dyDescent="0.3">
      <c r="B113" s="33">
        <v>13</v>
      </c>
      <c r="C113" s="31" t="s">
        <v>57</v>
      </c>
      <c r="D113" s="23">
        <v>374059.01</v>
      </c>
      <c r="E113" s="23">
        <v>12755</v>
      </c>
      <c r="F113" s="40">
        <f t="shared" si="19"/>
        <v>386814.01</v>
      </c>
      <c r="G113" s="65">
        <f t="shared" si="20"/>
        <v>4104318.54</v>
      </c>
      <c r="H113" s="62"/>
      <c r="I113" s="35"/>
      <c r="J113" s="35"/>
    </row>
    <row r="114" spans="2:10" s="3" customFormat="1" ht="15.6" customHeight="1" x14ac:dyDescent="0.3">
      <c r="B114" s="33">
        <v>14</v>
      </c>
      <c r="C114" s="49" t="s">
        <v>58</v>
      </c>
      <c r="D114" s="23">
        <v>127631.5</v>
      </c>
      <c r="E114" s="23">
        <v>0</v>
      </c>
      <c r="F114" s="40">
        <f t="shared" si="19"/>
        <v>127631.5</v>
      </c>
      <c r="G114" s="65">
        <f t="shared" si="20"/>
        <v>4231950.04</v>
      </c>
      <c r="H114" s="62"/>
      <c r="I114" s="35"/>
      <c r="J114" s="35"/>
    </row>
    <row r="115" spans="2:10" s="3" customFormat="1" ht="14.4" x14ac:dyDescent="0.3">
      <c r="B115" s="33">
        <v>15</v>
      </c>
      <c r="C115" s="31" t="s">
        <v>59</v>
      </c>
      <c r="D115" s="23">
        <v>168430</v>
      </c>
      <c r="E115" s="23">
        <v>0</v>
      </c>
      <c r="F115" s="40">
        <f t="shared" si="19"/>
        <v>168430</v>
      </c>
      <c r="G115" s="65">
        <f t="shared" si="20"/>
        <v>4400380.04</v>
      </c>
      <c r="H115" s="62"/>
      <c r="I115" s="35"/>
      <c r="J115" s="35"/>
    </row>
    <row r="116" spans="2:10" s="3" customFormat="1" ht="14.4" x14ac:dyDescent="0.3">
      <c r="B116" s="33">
        <v>16</v>
      </c>
      <c r="C116" s="31" t="s">
        <v>60</v>
      </c>
      <c r="D116" s="23">
        <v>68124.5</v>
      </c>
      <c r="E116" s="23">
        <v>0</v>
      </c>
      <c r="F116" s="40">
        <f t="shared" si="19"/>
        <v>68124.5</v>
      </c>
      <c r="G116" s="65">
        <f t="shared" si="20"/>
        <v>4468504.54</v>
      </c>
      <c r="H116" s="62"/>
      <c r="I116" s="35"/>
      <c r="J116" s="35"/>
    </row>
    <row r="117" spans="2:10" s="3" customFormat="1" ht="14.4" x14ac:dyDescent="0.3">
      <c r="B117" s="33">
        <v>17</v>
      </c>
      <c r="C117" s="31" t="s">
        <v>61</v>
      </c>
      <c r="D117" s="23">
        <v>96153</v>
      </c>
      <c r="E117" s="23">
        <v>0</v>
      </c>
      <c r="F117" s="40">
        <f t="shared" si="19"/>
        <v>96153</v>
      </c>
      <c r="G117" s="65">
        <f t="shared" si="20"/>
        <v>4564657.54</v>
      </c>
      <c r="H117" s="62"/>
      <c r="I117" s="35"/>
      <c r="J117" s="35"/>
    </row>
    <row r="118" spans="2:10" s="3" customFormat="1" ht="14.4" x14ac:dyDescent="0.3">
      <c r="B118" s="33">
        <v>18</v>
      </c>
      <c r="C118" s="31" t="s">
        <v>62</v>
      </c>
      <c r="D118" s="23">
        <v>77489</v>
      </c>
      <c r="E118" s="23">
        <v>0</v>
      </c>
      <c r="F118" s="40">
        <f t="shared" si="19"/>
        <v>77489</v>
      </c>
      <c r="G118" s="65">
        <f t="shared" si="20"/>
        <v>4642146.54</v>
      </c>
      <c r="H118" s="62"/>
      <c r="I118" s="35"/>
      <c r="J118" s="35"/>
    </row>
    <row r="119" spans="2:10" s="3" customFormat="1" ht="14.4" x14ac:dyDescent="0.3">
      <c r="B119" s="33">
        <v>19</v>
      </c>
      <c r="C119" s="31" t="s">
        <v>63</v>
      </c>
      <c r="D119" s="23">
        <v>15200</v>
      </c>
      <c r="E119" s="23">
        <v>0</v>
      </c>
      <c r="F119" s="40">
        <f t="shared" si="19"/>
        <v>15200</v>
      </c>
      <c r="G119" s="65">
        <f t="shared" si="20"/>
        <v>4657346.54</v>
      </c>
      <c r="H119" s="62"/>
      <c r="I119" s="35"/>
      <c r="J119" s="35"/>
    </row>
    <row r="120" spans="2:10" s="3" customFormat="1" ht="14.4" x14ac:dyDescent="0.3">
      <c r="B120" s="33">
        <v>20</v>
      </c>
      <c r="C120" s="31" t="s">
        <v>64</v>
      </c>
      <c r="D120" s="23">
        <v>0</v>
      </c>
      <c r="E120" s="23">
        <v>0</v>
      </c>
      <c r="F120" s="40">
        <f t="shared" si="19"/>
        <v>0</v>
      </c>
      <c r="G120" s="65">
        <f t="shared" si="20"/>
        <v>4657346.54</v>
      </c>
      <c r="H120" s="62"/>
      <c r="I120" s="35"/>
      <c r="J120" s="35"/>
    </row>
    <row r="121" spans="2:10" s="3" customFormat="1" ht="14.4" x14ac:dyDescent="0.3">
      <c r="B121" s="33">
        <v>21</v>
      </c>
      <c r="C121" s="31" t="s">
        <v>65</v>
      </c>
      <c r="D121" s="23">
        <v>7056.75</v>
      </c>
      <c r="E121" s="23">
        <v>0</v>
      </c>
      <c r="F121" s="40">
        <f t="shared" si="19"/>
        <v>7056.75</v>
      </c>
      <c r="G121" s="65">
        <f t="shared" si="20"/>
        <v>4664403.29</v>
      </c>
      <c r="H121" s="62"/>
      <c r="I121" s="35"/>
      <c r="J121" s="35"/>
    </row>
    <row r="122" spans="2:10" s="3" customFormat="1" ht="14.4" x14ac:dyDescent="0.3">
      <c r="B122" s="33">
        <v>22</v>
      </c>
      <c r="C122" s="31" t="s">
        <v>66</v>
      </c>
      <c r="D122" s="23">
        <v>82007</v>
      </c>
      <c r="E122" s="23">
        <v>0</v>
      </c>
      <c r="F122" s="40">
        <f t="shared" si="19"/>
        <v>82007</v>
      </c>
      <c r="G122" s="65">
        <f t="shared" si="20"/>
        <v>4746410.29</v>
      </c>
      <c r="H122" s="62"/>
      <c r="I122" s="35"/>
      <c r="J122" s="35"/>
    </row>
    <row r="123" spans="2:10" s="3" customFormat="1" ht="14.4" x14ac:dyDescent="0.3">
      <c r="B123" s="33">
        <v>23</v>
      </c>
      <c r="C123" s="31" t="s">
        <v>67</v>
      </c>
      <c r="D123" s="23">
        <v>0</v>
      </c>
      <c r="E123" s="23">
        <v>4968</v>
      </c>
      <c r="F123" s="40">
        <f t="shared" si="19"/>
        <v>4968</v>
      </c>
      <c r="G123" s="65">
        <f t="shared" si="20"/>
        <v>4751378.29</v>
      </c>
      <c r="H123" s="62"/>
      <c r="I123" s="35"/>
      <c r="J123" s="35"/>
    </row>
    <row r="124" spans="2:10" s="3" customFormat="1" ht="14.4" x14ac:dyDescent="0.3">
      <c r="B124" s="33">
        <v>24</v>
      </c>
      <c r="C124" s="31" t="s">
        <v>68</v>
      </c>
      <c r="D124" s="23">
        <v>0</v>
      </c>
      <c r="E124" s="23">
        <v>0</v>
      </c>
      <c r="F124" s="40">
        <f t="shared" si="19"/>
        <v>0</v>
      </c>
      <c r="G124" s="65">
        <f t="shared" si="20"/>
        <v>4751378.29</v>
      </c>
      <c r="H124" s="62"/>
      <c r="I124" s="35"/>
      <c r="J124" s="35"/>
    </row>
    <row r="125" spans="2:10" s="3" customFormat="1" ht="14.4" x14ac:dyDescent="0.3">
      <c r="B125" s="33">
        <v>25</v>
      </c>
      <c r="C125" s="67" t="s">
        <v>69</v>
      </c>
      <c r="D125" s="23">
        <v>0</v>
      </c>
      <c r="E125" s="23">
        <v>0</v>
      </c>
      <c r="F125" s="40">
        <f t="shared" si="19"/>
        <v>0</v>
      </c>
      <c r="G125" s="65">
        <f t="shared" si="20"/>
        <v>4751378.29</v>
      </c>
      <c r="H125" s="62"/>
      <c r="I125" s="35"/>
      <c r="J125" s="35"/>
    </row>
    <row r="126" spans="2:10" s="3" customFormat="1" ht="14.4" x14ac:dyDescent="0.3">
      <c r="B126" s="33">
        <v>26</v>
      </c>
      <c r="C126" s="67" t="s">
        <v>70</v>
      </c>
      <c r="D126" s="94">
        <v>0</v>
      </c>
      <c r="E126" s="95">
        <v>0</v>
      </c>
      <c r="F126" s="96">
        <f t="shared" si="19"/>
        <v>0</v>
      </c>
      <c r="G126" s="98">
        <f t="shared" si="20"/>
        <v>4751378.29</v>
      </c>
      <c r="H126" s="62"/>
      <c r="I126" s="35"/>
      <c r="J126" s="35"/>
    </row>
    <row r="127" spans="2:10" s="3" customFormat="1" ht="14.4" x14ac:dyDescent="0.3">
      <c r="B127" s="33">
        <v>27</v>
      </c>
      <c r="C127" s="31" t="s">
        <v>79</v>
      </c>
      <c r="D127" s="18">
        <v>0</v>
      </c>
      <c r="E127" s="18">
        <v>0</v>
      </c>
      <c r="F127" s="36">
        <f t="shared" si="19"/>
        <v>0</v>
      </c>
      <c r="G127" s="84">
        <f t="shared" si="20"/>
        <v>4751378.29</v>
      </c>
      <c r="H127" s="62"/>
      <c r="I127" s="35"/>
      <c r="J127" s="35"/>
    </row>
    <row r="128" spans="2:10" s="3" customFormat="1" ht="14.4" x14ac:dyDescent="0.3">
      <c r="B128" s="33">
        <v>28</v>
      </c>
      <c r="C128" s="67" t="s">
        <v>80</v>
      </c>
      <c r="D128" s="23">
        <v>0</v>
      </c>
      <c r="E128" s="23">
        <v>933746</v>
      </c>
      <c r="F128" s="40">
        <f t="shared" si="19"/>
        <v>933746</v>
      </c>
      <c r="G128" s="65">
        <f t="shared" si="20"/>
        <v>5685124.29</v>
      </c>
      <c r="H128" s="62"/>
      <c r="I128" s="35"/>
      <c r="J128" s="35"/>
    </row>
    <row r="129" spans="1:12" s="3" customFormat="1" ht="14.4" x14ac:dyDescent="0.3">
      <c r="B129" s="33">
        <v>29</v>
      </c>
      <c r="C129" s="67" t="s">
        <v>81</v>
      </c>
      <c r="D129" s="23">
        <v>0</v>
      </c>
      <c r="E129" s="23">
        <v>0</v>
      </c>
      <c r="F129" s="40">
        <f t="shared" ref="F129:F133" si="21">+E129+D129</f>
        <v>0</v>
      </c>
      <c r="G129" s="65">
        <f t="shared" ref="G129:G132" si="22">+G128+F129</f>
        <v>5685124.29</v>
      </c>
      <c r="H129" s="62"/>
      <c r="I129" s="35"/>
      <c r="J129" s="35"/>
    </row>
    <row r="130" spans="1:12" s="3" customFormat="1" ht="14.4" x14ac:dyDescent="0.3">
      <c r="B130" s="33">
        <v>30</v>
      </c>
      <c r="C130" s="67" t="s">
        <v>82</v>
      </c>
      <c r="D130" s="23">
        <v>0</v>
      </c>
      <c r="E130" s="23">
        <v>0</v>
      </c>
      <c r="F130" s="40">
        <f t="shared" si="21"/>
        <v>0</v>
      </c>
      <c r="G130" s="65">
        <f t="shared" si="22"/>
        <v>5685124.29</v>
      </c>
      <c r="H130" s="62"/>
      <c r="I130" s="35"/>
      <c r="J130" s="35"/>
    </row>
    <row r="131" spans="1:12" s="3" customFormat="1" ht="14.4" x14ac:dyDescent="0.3">
      <c r="B131" s="33">
        <v>31</v>
      </c>
      <c r="C131" s="67" t="s">
        <v>83</v>
      </c>
      <c r="D131" s="23">
        <v>0</v>
      </c>
      <c r="E131" s="23">
        <v>0</v>
      </c>
      <c r="F131" s="40">
        <f t="shared" si="21"/>
        <v>0</v>
      </c>
      <c r="G131" s="65">
        <f t="shared" si="22"/>
        <v>5685124.29</v>
      </c>
      <c r="H131" s="62"/>
      <c r="I131" s="35"/>
      <c r="J131" s="35"/>
    </row>
    <row r="132" spans="1:12" s="3" customFormat="1" ht="14.4" x14ac:dyDescent="0.3">
      <c r="B132" s="33">
        <v>32</v>
      </c>
      <c r="C132" s="67" t="s">
        <v>84</v>
      </c>
      <c r="D132" s="23">
        <v>0</v>
      </c>
      <c r="E132" s="23">
        <v>0</v>
      </c>
      <c r="F132" s="40">
        <f t="shared" si="21"/>
        <v>0</v>
      </c>
      <c r="G132" s="65">
        <f t="shared" si="22"/>
        <v>5685124.29</v>
      </c>
      <c r="H132" s="62"/>
      <c r="I132" s="35"/>
      <c r="J132" s="35"/>
    </row>
    <row r="133" spans="1:12" s="3" customFormat="1" ht="14.4" x14ac:dyDescent="0.3">
      <c r="B133" s="33">
        <v>33</v>
      </c>
      <c r="C133" s="67" t="s">
        <v>85</v>
      </c>
      <c r="D133" s="23">
        <v>0</v>
      </c>
      <c r="E133" s="23">
        <v>0</v>
      </c>
      <c r="F133" s="40">
        <f t="shared" si="21"/>
        <v>0</v>
      </c>
      <c r="G133" s="65">
        <f>+G132+F133</f>
        <v>5685124.29</v>
      </c>
      <c r="H133" s="62"/>
      <c r="I133" s="35"/>
      <c r="J133" s="35"/>
    </row>
    <row r="134" spans="1:12" s="3" customFormat="1" ht="14.4" x14ac:dyDescent="0.3">
      <c r="B134" s="33">
        <v>34</v>
      </c>
      <c r="C134" s="67" t="s">
        <v>87</v>
      </c>
      <c r="D134" s="23">
        <v>0</v>
      </c>
      <c r="E134" s="23">
        <v>0</v>
      </c>
      <c r="F134" s="40">
        <v>0</v>
      </c>
      <c r="G134" s="23">
        <f>+G133+F134</f>
        <v>5685124.29</v>
      </c>
      <c r="H134" s="62"/>
      <c r="I134" s="35"/>
      <c r="J134" s="10"/>
      <c r="K134" s="1"/>
      <c r="L134" s="32"/>
    </row>
    <row r="135" spans="1:12" s="3" customFormat="1" ht="14.4" x14ac:dyDescent="0.3">
      <c r="B135" s="33">
        <v>35</v>
      </c>
      <c r="C135" s="67" t="s">
        <v>86</v>
      </c>
      <c r="D135" s="23">
        <v>0</v>
      </c>
      <c r="E135" s="23">
        <v>0</v>
      </c>
      <c r="F135" s="40">
        <f>+E135+D135</f>
        <v>0</v>
      </c>
      <c r="G135" s="40">
        <f>+G134+F135</f>
        <v>5685124.29</v>
      </c>
      <c r="H135" s="62"/>
      <c r="I135" s="35"/>
      <c r="J135" s="10"/>
      <c r="K135" s="1"/>
      <c r="L135" s="32"/>
    </row>
    <row r="136" spans="1:12" ht="14.4" x14ac:dyDescent="0.3">
      <c r="A136" s="3"/>
      <c r="B136" s="5" t="s">
        <v>45</v>
      </c>
      <c r="C136" s="68" t="s">
        <v>45</v>
      </c>
      <c r="D136" s="69" t="s">
        <v>45</v>
      </c>
      <c r="E136" s="69" t="s">
        <v>45</v>
      </c>
      <c r="F136" s="69" t="s">
        <v>45</v>
      </c>
      <c r="G136" s="69" t="s">
        <v>45</v>
      </c>
      <c r="H136" s="6" t="s">
        <v>45</v>
      </c>
      <c r="I136" s="3"/>
    </row>
    <row r="137" spans="1:12" ht="14.4" x14ac:dyDescent="0.3">
      <c r="A137" s="3"/>
      <c r="B137" s="8" t="s">
        <v>27</v>
      </c>
      <c r="C137" s="70"/>
      <c r="D137" s="69" t="s">
        <v>45</v>
      </c>
      <c r="E137" s="69" t="s">
        <v>45</v>
      </c>
      <c r="F137" s="69" t="s">
        <v>45</v>
      </c>
      <c r="G137" s="69" t="s">
        <v>45</v>
      </c>
      <c r="H137" s="6" t="s">
        <v>45</v>
      </c>
      <c r="I137" s="3"/>
    </row>
    <row r="138" spans="1:12" ht="14.4" x14ac:dyDescent="0.3">
      <c r="A138" s="3"/>
      <c r="B138" s="9" t="s">
        <v>28</v>
      </c>
      <c r="C138" s="5"/>
      <c r="D138" s="6"/>
      <c r="E138" s="6"/>
      <c r="F138" s="71"/>
      <c r="G138" s="71"/>
      <c r="H138" s="72"/>
      <c r="I138" s="3"/>
    </row>
    <row r="139" spans="1:12" ht="14.4" x14ac:dyDescent="0.3">
      <c r="A139" s="3"/>
      <c r="B139" s="9" t="s">
        <v>29</v>
      </c>
      <c r="C139" s="5"/>
      <c r="D139" s="6"/>
      <c r="E139" s="6"/>
      <c r="F139" s="71"/>
      <c r="G139" s="69" t="s">
        <v>45</v>
      </c>
      <c r="H139" s="6" t="s">
        <v>45</v>
      </c>
      <c r="I139" s="3"/>
    </row>
    <row r="140" spans="1:12" ht="14.4" x14ac:dyDescent="0.3">
      <c r="A140" s="3"/>
      <c r="B140" s="9" t="s">
        <v>30</v>
      </c>
      <c r="C140" s="5"/>
      <c r="D140" s="6"/>
      <c r="E140" s="6"/>
      <c r="F140" s="69" t="s">
        <v>45</v>
      </c>
      <c r="G140" s="69" t="s">
        <v>45</v>
      </c>
      <c r="H140" s="6" t="s">
        <v>45</v>
      </c>
      <c r="I140" s="3"/>
    </row>
    <row r="141" spans="1:12" ht="14.4" x14ac:dyDescent="0.3">
      <c r="A141" s="3"/>
      <c r="B141" s="3"/>
      <c r="C141" s="54"/>
      <c r="D141" s="55"/>
      <c r="E141" s="55"/>
      <c r="F141" s="55"/>
      <c r="G141" s="55"/>
      <c r="H141" s="32"/>
      <c r="I141" s="3"/>
    </row>
    <row r="142" spans="1:12" ht="14.4" x14ac:dyDescent="0.3">
      <c r="A142" s="3"/>
      <c r="B142" s="3"/>
      <c r="C142" s="54"/>
      <c r="D142" s="55"/>
      <c r="E142" s="55"/>
      <c r="F142" s="55"/>
      <c r="G142" s="55"/>
      <c r="H142" s="32"/>
      <c r="I142" s="3"/>
    </row>
    <row r="143" spans="1:12" ht="18" x14ac:dyDescent="0.35">
      <c r="A143" s="3"/>
      <c r="C143" s="73"/>
      <c r="D143" s="177" t="s">
        <v>34</v>
      </c>
      <c r="E143" s="177"/>
      <c r="F143" s="177"/>
      <c r="G143" s="177"/>
      <c r="H143" s="177"/>
      <c r="I143" s="3"/>
    </row>
    <row r="144" spans="1:12" ht="15.6" x14ac:dyDescent="0.3">
      <c r="A144" s="28"/>
      <c r="B144" s="24" t="s">
        <v>45</v>
      </c>
      <c r="C144" s="74" t="s">
        <v>45</v>
      </c>
      <c r="D144" s="178" t="s">
        <v>46</v>
      </c>
      <c r="E144" s="178"/>
      <c r="F144" s="178"/>
      <c r="G144" s="178"/>
      <c r="H144" s="178"/>
      <c r="I144" s="28"/>
    </row>
    <row r="145" spans="1:10" ht="15.9" customHeight="1" x14ac:dyDescent="0.3">
      <c r="A145" s="3"/>
      <c r="B145" s="132" t="s">
        <v>89</v>
      </c>
      <c r="C145" s="132"/>
      <c r="D145" s="132"/>
      <c r="E145" s="132"/>
      <c r="F145" s="132"/>
      <c r="G145" s="132"/>
      <c r="H145" s="132"/>
      <c r="I145" s="3"/>
    </row>
    <row r="146" spans="1:10" ht="14.4" x14ac:dyDescent="0.3">
      <c r="A146" s="3"/>
      <c r="B146" s="14"/>
      <c r="C146" s="15"/>
      <c r="D146" s="152" t="s">
        <v>6</v>
      </c>
      <c r="E146" s="152"/>
      <c r="F146" s="152"/>
      <c r="G146" s="152"/>
      <c r="H146" s="180" t="s">
        <v>45</v>
      </c>
      <c r="I146" s="3"/>
    </row>
    <row r="147" spans="1:10" ht="14.4" x14ac:dyDescent="0.3">
      <c r="A147" s="3"/>
      <c r="B147" s="12"/>
      <c r="C147" s="13"/>
      <c r="D147" s="155" t="s">
        <v>9</v>
      </c>
      <c r="E147" s="155"/>
      <c r="F147" s="155"/>
      <c r="G147" s="155"/>
      <c r="H147" s="180"/>
      <c r="I147" s="3"/>
    </row>
    <row r="148" spans="1:10" ht="14.4" x14ac:dyDescent="0.3">
      <c r="A148" s="3"/>
      <c r="B148" s="111" t="s">
        <v>10</v>
      </c>
      <c r="C148" s="113" t="s">
        <v>11</v>
      </c>
      <c r="D148" s="44" t="s">
        <v>12</v>
      </c>
      <c r="E148" s="44" t="s">
        <v>13</v>
      </c>
      <c r="F148" s="44" t="s">
        <v>14</v>
      </c>
      <c r="G148" s="57" t="s">
        <v>15</v>
      </c>
      <c r="H148" s="175" t="s">
        <v>45</v>
      </c>
      <c r="I148" s="3"/>
    </row>
    <row r="149" spans="1:10" ht="14.4" x14ac:dyDescent="0.3">
      <c r="A149" s="3"/>
      <c r="B149" s="111"/>
      <c r="C149" s="113"/>
      <c r="D149" s="165" t="s">
        <v>20</v>
      </c>
      <c r="E149" s="165"/>
      <c r="F149" s="165"/>
      <c r="G149" s="165"/>
      <c r="H149" s="175"/>
      <c r="I149" s="3"/>
    </row>
    <row r="150" spans="1:10" ht="14.4" x14ac:dyDescent="0.3">
      <c r="A150" s="3"/>
      <c r="B150" s="33">
        <v>4</v>
      </c>
      <c r="C150" s="58" t="s">
        <v>21</v>
      </c>
      <c r="D150" s="59">
        <v>50751</v>
      </c>
      <c r="E150" s="18">
        <v>0</v>
      </c>
      <c r="F150" s="60">
        <f>+D150</f>
        <v>50751</v>
      </c>
      <c r="G150" s="61">
        <f>+F150</f>
        <v>50751</v>
      </c>
      <c r="H150" s="62" t="s">
        <v>45</v>
      </c>
      <c r="I150" s="3"/>
    </row>
    <row r="151" spans="1:10" ht="14.4" x14ac:dyDescent="0.3">
      <c r="A151" s="3"/>
      <c r="B151" s="63">
        <v>5</v>
      </c>
      <c r="C151" s="64" t="s">
        <v>22</v>
      </c>
      <c r="D151" s="59">
        <v>15303.5</v>
      </c>
      <c r="E151" s="23">
        <v>0</v>
      </c>
      <c r="F151" s="60">
        <f>+D151</f>
        <v>15303.5</v>
      </c>
      <c r="G151" s="61">
        <f>+G150+F151</f>
        <v>66054.5</v>
      </c>
      <c r="H151" s="62" t="s">
        <v>45</v>
      </c>
      <c r="I151" s="3"/>
    </row>
    <row r="152" spans="1:10" ht="14.4" x14ac:dyDescent="0.3">
      <c r="A152" s="3"/>
      <c r="B152" s="63">
        <v>6</v>
      </c>
      <c r="C152" s="64" t="s">
        <v>23</v>
      </c>
      <c r="D152" s="59">
        <v>60629.5</v>
      </c>
      <c r="E152" s="23">
        <v>0</v>
      </c>
      <c r="F152" s="60">
        <f>+D152</f>
        <v>60629.5</v>
      </c>
      <c r="G152" s="61">
        <f>+G151+F152</f>
        <v>126684</v>
      </c>
      <c r="H152" s="62" t="s">
        <v>45</v>
      </c>
      <c r="I152" s="3"/>
    </row>
    <row r="153" spans="1:10" ht="14.4" x14ac:dyDescent="0.3">
      <c r="A153" s="3"/>
      <c r="B153" s="63">
        <v>7</v>
      </c>
      <c r="C153" s="64" t="s">
        <v>24</v>
      </c>
      <c r="D153" s="18">
        <v>0</v>
      </c>
      <c r="E153" s="23">
        <v>0</v>
      </c>
      <c r="F153" s="36">
        <v>0</v>
      </c>
      <c r="G153" s="61">
        <f>+G152+F153</f>
        <v>126684</v>
      </c>
      <c r="H153" s="62" t="s">
        <v>45</v>
      </c>
      <c r="I153" s="3"/>
    </row>
    <row r="154" spans="1:10" s="3" customFormat="1" ht="14.4" x14ac:dyDescent="0.3">
      <c r="B154" s="33">
        <v>8</v>
      </c>
      <c r="C154" s="31" t="s">
        <v>25</v>
      </c>
      <c r="D154" s="23">
        <v>23483.5</v>
      </c>
      <c r="E154" s="23">
        <v>0</v>
      </c>
      <c r="F154" s="40">
        <f t="shared" ref="F154:F174" si="23">+E154+D154</f>
        <v>23483.5</v>
      </c>
      <c r="G154" s="65">
        <f>+G153+F154</f>
        <v>150167.5</v>
      </c>
      <c r="H154" s="62"/>
      <c r="I154" s="10"/>
    </row>
    <row r="155" spans="1:10" s="3" customFormat="1" ht="14.4" x14ac:dyDescent="0.3">
      <c r="B155" s="33">
        <v>9</v>
      </c>
      <c r="C155" s="31" t="s">
        <v>26</v>
      </c>
      <c r="D155" s="23">
        <v>7788.5</v>
      </c>
      <c r="E155" s="23">
        <v>0</v>
      </c>
      <c r="F155" s="40">
        <f t="shared" si="23"/>
        <v>7788.5</v>
      </c>
      <c r="G155" s="65">
        <f t="shared" ref="G155:G174" si="24">+G154+F155</f>
        <v>157956</v>
      </c>
      <c r="H155" s="62"/>
      <c r="I155" s="35"/>
      <c r="J155" s="35"/>
    </row>
    <row r="156" spans="1:10" s="3" customFormat="1" ht="14.4" x14ac:dyDescent="0.3">
      <c r="B156" s="33">
        <v>10</v>
      </c>
      <c r="C156" s="31" t="s">
        <v>55</v>
      </c>
      <c r="D156" s="23">
        <v>0</v>
      </c>
      <c r="E156" s="23">
        <v>0</v>
      </c>
      <c r="F156" s="40">
        <f t="shared" si="23"/>
        <v>0</v>
      </c>
      <c r="G156" s="65">
        <f t="shared" si="24"/>
        <v>157956</v>
      </c>
      <c r="H156" s="62"/>
      <c r="I156" s="35"/>
      <c r="J156" s="35"/>
    </row>
    <row r="157" spans="1:10" s="3" customFormat="1" ht="14.4" x14ac:dyDescent="0.3">
      <c r="B157" s="33">
        <v>11</v>
      </c>
      <c r="C157" s="31" t="s">
        <v>56</v>
      </c>
      <c r="D157" s="23">
        <v>0</v>
      </c>
      <c r="E157" s="23">
        <v>0</v>
      </c>
      <c r="F157" s="40">
        <f t="shared" si="23"/>
        <v>0</v>
      </c>
      <c r="G157" s="65">
        <f>+G156+F157</f>
        <v>157956</v>
      </c>
      <c r="H157" s="62"/>
      <c r="I157" s="35"/>
      <c r="J157" s="35"/>
    </row>
    <row r="158" spans="1:10" s="3" customFormat="1" ht="14.4" x14ac:dyDescent="0.3">
      <c r="B158" s="33">
        <v>12</v>
      </c>
      <c r="C158" s="31" t="s">
        <v>71</v>
      </c>
      <c r="D158" s="23">
        <v>0</v>
      </c>
      <c r="E158" s="23">
        <v>0</v>
      </c>
      <c r="F158" s="40">
        <f t="shared" si="23"/>
        <v>0</v>
      </c>
      <c r="G158" s="65">
        <f t="shared" si="24"/>
        <v>157956</v>
      </c>
      <c r="H158" s="62"/>
      <c r="I158" s="35"/>
      <c r="J158" s="35"/>
    </row>
    <row r="159" spans="1:10" s="3" customFormat="1" ht="14.4" x14ac:dyDescent="0.3">
      <c r="B159" s="33">
        <v>13</v>
      </c>
      <c r="C159" s="31" t="s">
        <v>57</v>
      </c>
      <c r="D159" s="23">
        <v>0</v>
      </c>
      <c r="E159" s="23">
        <v>0</v>
      </c>
      <c r="F159" s="40">
        <f t="shared" si="23"/>
        <v>0</v>
      </c>
      <c r="G159" s="65">
        <f t="shared" si="24"/>
        <v>157956</v>
      </c>
      <c r="H159" s="62"/>
      <c r="I159" s="35"/>
      <c r="J159" s="35"/>
    </row>
    <row r="160" spans="1:10" s="3" customFormat="1" ht="15" customHeight="1" x14ac:dyDescent="0.3">
      <c r="B160" s="33">
        <v>14</v>
      </c>
      <c r="C160" s="49" t="s">
        <v>58</v>
      </c>
      <c r="D160" s="23">
        <v>0</v>
      </c>
      <c r="E160" s="23">
        <v>0</v>
      </c>
      <c r="F160" s="40">
        <f t="shared" si="23"/>
        <v>0</v>
      </c>
      <c r="G160" s="65">
        <f t="shared" si="24"/>
        <v>157956</v>
      </c>
      <c r="H160" s="62"/>
      <c r="I160" s="35"/>
      <c r="J160" s="35"/>
    </row>
    <row r="161" spans="2:10" s="3" customFormat="1" ht="14.4" x14ac:dyDescent="0.3">
      <c r="B161" s="33">
        <v>15</v>
      </c>
      <c r="C161" s="31" t="s">
        <v>59</v>
      </c>
      <c r="D161" s="23">
        <v>0</v>
      </c>
      <c r="E161" s="23">
        <v>0</v>
      </c>
      <c r="F161" s="40">
        <f t="shared" si="23"/>
        <v>0</v>
      </c>
      <c r="G161" s="65">
        <f t="shared" si="24"/>
        <v>157956</v>
      </c>
      <c r="H161" s="62"/>
      <c r="I161" s="35"/>
      <c r="J161" s="35"/>
    </row>
    <row r="162" spans="2:10" s="3" customFormat="1" ht="14.4" x14ac:dyDescent="0.3">
      <c r="B162" s="33">
        <v>16</v>
      </c>
      <c r="C162" s="31" t="s">
        <v>60</v>
      </c>
      <c r="D162" s="23">
        <v>0</v>
      </c>
      <c r="E162" s="23">
        <v>0</v>
      </c>
      <c r="F162" s="40">
        <f t="shared" si="23"/>
        <v>0</v>
      </c>
      <c r="G162" s="65">
        <f t="shared" si="24"/>
        <v>157956</v>
      </c>
      <c r="H162" s="62"/>
      <c r="I162" s="35"/>
      <c r="J162" s="35"/>
    </row>
    <row r="163" spans="2:10" s="3" customFormat="1" ht="14.4" x14ac:dyDescent="0.3">
      <c r="B163" s="33">
        <v>17</v>
      </c>
      <c r="C163" s="31" t="s">
        <v>61</v>
      </c>
      <c r="D163" s="23">
        <v>0</v>
      </c>
      <c r="E163" s="23">
        <v>0</v>
      </c>
      <c r="F163" s="40">
        <f t="shared" si="23"/>
        <v>0</v>
      </c>
      <c r="G163" s="65">
        <f t="shared" si="24"/>
        <v>157956</v>
      </c>
      <c r="H163" s="62"/>
      <c r="I163" s="35"/>
      <c r="J163" s="35"/>
    </row>
    <row r="164" spans="2:10" s="3" customFormat="1" ht="14.4" x14ac:dyDescent="0.3">
      <c r="B164" s="33">
        <v>18</v>
      </c>
      <c r="C164" s="31" t="s">
        <v>62</v>
      </c>
      <c r="D164" s="23">
        <v>0</v>
      </c>
      <c r="E164" s="23">
        <v>0</v>
      </c>
      <c r="F164" s="40">
        <f t="shared" si="23"/>
        <v>0</v>
      </c>
      <c r="G164" s="65">
        <f t="shared" si="24"/>
        <v>157956</v>
      </c>
      <c r="H164" s="62"/>
      <c r="I164" s="35"/>
      <c r="J164" s="35"/>
    </row>
    <row r="165" spans="2:10" s="3" customFormat="1" ht="14.4" x14ac:dyDescent="0.3">
      <c r="B165" s="33">
        <v>19</v>
      </c>
      <c r="C165" s="31" t="s">
        <v>63</v>
      </c>
      <c r="D165" s="23">
        <v>0</v>
      </c>
      <c r="E165" s="23">
        <v>0</v>
      </c>
      <c r="F165" s="40">
        <f t="shared" si="23"/>
        <v>0</v>
      </c>
      <c r="G165" s="65">
        <f t="shared" si="24"/>
        <v>157956</v>
      </c>
      <c r="H165" s="62"/>
      <c r="I165" s="35"/>
      <c r="J165" s="35"/>
    </row>
    <row r="166" spans="2:10" s="3" customFormat="1" ht="14.4" x14ac:dyDescent="0.3">
      <c r="B166" s="33">
        <v>20</v>
      </c>
      <c r="C166" s="31" t="s">
        <v>64</v>
      </c>
      <c r="D166" s="23">
        <v>0</v>
      </c>
      <c r="E166" s="23">
        <v>0</v>
      </c>
      <c r="F166" s="40">
        <f t="shared" si="23"/>
        <v>0</v>
      </c>
      <c r="G166" s="65">
        <f t="shared" si="24"/>
        <v>157956</v>
      </c>
      <c r="H166" s="62"/>
      <c r="I166" s="35"/>
      <c r="J166" s="35"/>
    </row>
    <row r="167" spans="2:10" s="3" customFormat="1" ht="14.4" x14ac:dyDescent="0.3">
      <c r="B167" s="33">
        <v>21</v>
      </c>
      <c r="C167" s="31" t="s">
        <v>65</v>
      </c>
      <c r="D167" s="23">
        <v>0</v>
      </c>
      <c r="E167" s="23">
        <v>0</v>
      </c>
      <c r="F167" s="40">
        <f t="shared" si="23"/>
        <v>0</v>
      </c>
      <c r="G167" s="65">
        <f t="shared" si="24"/>
        <v>157956</v>
      </c>
      <c r="H167" s="62"/>
      <c r="I167" s="35"/>
      <c r="J167" s="35"/>
    </row>
    <row r="168" spans="2:10" s="3" customFormat="1" ht="14.4" x14ac:dyDescent="0.3">
      <c r="B168" s="33">
        <v>22</v>
      </c>
      <c r="C168" s="31" t="s">
        <v>66</v>
      </c>
      <c r="D168" s="23">
        <v>0</v>
      </c>
      <c r="E168" s="23">
        <v>0</v>
      </c>
      <c r="F168" s="40">
        <f t="shared" si="23"/>
        <v>0</v>
      </c>
      <c r="G168" s="65">
        <f t="shared" si="24"/>
        <v>157956</v>
      </c>
      <c r="H168" s="62"/>
      <c r="I168" s="35"/>
      <c r="J168" s="35"/>
    </row>
    <row r="169" spans="2:10" s="3" customFormat="1" ht="14.4" x14ac:dyDescent="0.3">
      <c r="B169" s="33">
        <v>23</v>
      </c>
      <c r="C169" s="31" t="s">
        <v>67</v>
      </c>
      <c r="D169" s="23">
        <v>0</v>
      </c>
      <c r="E169" s="23">
        <v>0</v>
      </c>
      <c r="F169" s="40">
        <f t="shared" si="23"/>
        <v>0</v>
      </c>
      <c r="G169" s="65">
        <f t="shared" si="24"/>
        <v>157956</v>
      </c>
      <c r="H169" s="62"/>
      <c r="I169" s="35"/>
      <c r="J169" s="35"/>
    </row>
    <row r="170" spans="2:10" s="3" customFormat="1" ht="14.4" x14ac:dyDescent="0.3">
      <c r="B170" s="33">
        <v>24</v>
      </c>
      <c r="C170" s="31" t="s">
        <v>68</v>
      </c>
      <c r="D170" s="23">
        <v>0</v>
      </c>
      <c r="E170" s="23">
        <v>0</v>
      </c>
      <c r="F170" s="40">
        <f t="shared" si="23"/>
        <v>0</v>
      </c>
      <c r="G170" s="65">
        <f t="shared" si="24"/>
        <v>157956</v>
      </c>
      <c r="H170" s="62"/>
      <c r="I170" s="35"/>
      <c r="J170" s="35"/>
    </row>
    <row r="171" spans="2:10" s="3" customFormat="1" ht="14.4" x14ac:dyDescent="0.3">
      <c r="B171" s="33">
        <v>25</v>
      </c>
      <c r="C171" s="67" t="s">
        <v>69</v>
      </c>
      <c r="D171" s="23">
        <v>0</v>
      </c>
      <c r="E171" s="23">
        <v>0</v>
      </c>
      <c r="F171" s="40">
        <f t="shared" si="23"/>
        <v>0</v>
      </c>
      <c r="G171" s="65">
        <f t="shared" si="24"/>
        <v>157956</v>
      </c>
      <c r="H171" s="62"/>
      <c r="I171" s="35"/>
      <c r="J171" s="35"/>
    </row>
    <row r="172" spans="2:10" s="3" customFormat="1" ht="15" customHeight="1" x14ac:dyDescent="0.3">
      <c r="B172" s="33">
        <v>26</v>
      </c>
      <c r="C172" s="67" t="s">
        <v>70</v>
      </c>
      <c r="D172" s="94">
        <v>0</v>
      </c>
      <c r="E172" s="95">
        <v>0</v>
      </c>
      <c r="F172" s="96">
        <f t="shared" si="23"/>
        <v>0</v>
      </c>
      <c r="G172" s="98">
        <f t="shared" si="24"/>
        <v>157956</v>
      </c>
      <c r="H172" s="62"/>
      <c r="I172" s="35"/>
      <c r="J172" s="35"/>
    </row>
    <row r="173" spans="2:10" s="3" customFormat="1" ht="14.4" x14ac:dyDescent="0.3">
      <c r="B173" s="33">
        <v>27</v>
      </c>
      <c r="C173" s="31" t="s">
        <v>79</v>
      </c>
      <c r="D173" s="18">
        <v>0</v>
      </c>
      <c r="E173" s="18">
        <v>0</v>
      </c>
      <c r="F173" s="36">
        <f t="shared" si="23"/>
        <v>0</v>
      </c>
      <c r="G173" s="84">
        <f t="shared" si="24"/>
        <v>157956</v>
      </c>
      <c r="H173" s="62"/>
      <c r="I173" s="35"/>
      <c r="J173" s="35"/>
    </row>
    <row r="174" spans="2:10" s="3" customFormat="1" ht="14.4" x14ac:dyDescent="0.3">
      <c r="B174" s="33">
        <v>28</v>
      </c>
      <c r="C174" s="67" t="s">
        <v>80</v>
      </c>
      <c r="D174" s="23">
        <v>0</v>
      </c>
      <c r="E174" s="23">
        <v>0</v>
      </c>
      <c r="F174" s="40">
        <f t="shared" si="23"/>
        <v>0</v>
      </c>
      <c r="G174" s="65">
        <f t="shared" si="24"/>
        <v>157956</v>
      </c>
      <c r="H174" s="62"/>
      <c r="I174" s="35"/>
      <c r="J174" s="35"/>
    </row>
    <row r="175" spans="2:10" s="3" customFormat="1" ht="14.4" x14ac:dyDescent="0.3">
      <c r="B175" s="33">
        <v>29</v>
      </c>
      <c r="C175" s="67" t="s">
        <v>81</v>
      </c>
      <c r="D175" s="23">
        <v>0</v>
      </c>
      <c r="E175" s="23">
        <v>0</v>
      </c>
      <c r="F175" s="40">
        <f t="shared" ref="F175:F179" si="25">+E175+D175</f>
        <v>0</v>
      </c>
      <c r="G175" s="65">
        <f t="shared" ref="G175:G178" si="26">+G174+F175</f>
        <v>157956</v>
      </c>
      <c r="H175" s="62"/>
      <c r="I175" s="35"/>
      <c r="J175" s="35"/>
    </row>
    <row r="176" spans="2:10" s="3" customFormat="1" ht="14.4" x14ac:dyDescent="0.3">
      <c r="B176" s="33">
        <v>30</v>
      </c>
      <c r="C176" s="67" t="s">
        <v>82</v>
      </c>
      <c r="D176" s="23">
        <v>0</v>
      </c>
      <c r="E176" s="23">
        <v>0</v>
      </c>
      <c r="F176" s="40">
        <f t="shared" si="25"/>
        <v>0</v>
      </c>
      <c r="G176" s="65">
        <f t="shared" si="26"/>
        <v>157956</v>
      </c>
      <c r="H176" s="62"/>
      <c r="I176" s="35"/>
      <c r="J176" s="35"/>
    </row>
    <row r="177" spans="1:12" s="3" customFormat="1" ht="14.4" x14ac:dyDescent="0.3">
      <c r="B177" s="33">
        <v>31</v>
      </c>
      <c r="C177" s="67" t="s">
        <v>83</v>
      </c>
      <c r="D177" s="23">
        <v>0</v>
      </c>
      <c r="E177" s="23">
        <v>0</v>
      </c>
      <c r="F177" s="40">
        <f t="shared" si="25"/>
        <v>0</v>
      </c>
      <c r="G177" s="65">
        <f t="shared" si="26"/>
        <v>157956</v>
      </c>
      <c r="H177" s="62"/>
      <c r="I177" s="35"/>
      <c r="J177" s="35"/>
    </row>
    <row r="178" spans="1:12" s="3" customFormat="1" ht="14.4" x14ac:dyDescent="0.3">
      <c r="B178" s="33">
        <v>32</v>
      </c>
      <c r="C178" s="67" t="s">
        <v>84</v>
      </c>
      <c r="D178" s="23">
        <v>0</v>
      </c>
      <c r="E178" s="23">
        <v>0</v>
      </c>
      <c r="F178" s="40">
        <f t="shared" si="25"/>
        <v>0</v>
      </c>
      <c r="G178" s="65">
        <f t="shared" si="26"/>
        <v>157956</v>
      </c>
      <c r="H178" s="62"/>
      <c r="I178" s="35"/>
      <c r="J178" s="35"/>
    </row>
    <row r="179" spans="1:12" s="3" customFormat="1" ht="14.4" x14ac:dyDescent="0.3">
      <c r="B179" s="33">
        <v>33</v>
      </c>
      <c r="C179" s="67" t="s">
        <v>85</v>
      </c>
      <c r="D179" s="23">
        <v>0</v>
      </c>
      <c r="E179" s="23">
        <v>0</v>
      </c>
      <c r="F179" s="40">
        <f t="shared" si="25"/>
        <v>0</v>
      </c>
      <c r="G179" s="65">
        <f>+G178+F179</f>
        <v>157956</v>
      </c>
      <c r="H179" s="62"/>
      <c r="I179" s="35"/>
      <c r="J179" s="35"/>
    </row>
    <row r="180" spans="1:12" s="3" customFormat="1" ht="14.4" x14ac:dyDescent="0.3">
      <c r="B180" s="33">
        <v>34</v>
      </c>
      <c r="C180" s="67" t="s">
        <v>87</v>
      </c>
      <c r="D180" s="23">
        <v>0</v>
      </c>
      <c r="E180" s="23">
        <v>0</v>
      </c>
      <c r="F180" s="40">
        <v>0</v>
      </c>
      <c r="G180" s="23">
        <f>+G179+F180</f>
        <v>157956</v>
      </c>
      <c r="H180" s="62"/>
      <c r="I180" s="35"/>
      <c r="J180" s="10"/>
      <c r="K180" s="1"/>
      <c r="L180" s="32"/>
    </row>
    <row r="181" spans="1:12" s="3" customFormat="1" ht="14.4" x14ac:dyDescent="0.3">
      <c r="B181" s="33">
        <v>35</v>
      </c>
      <c r="C181" s="67" t="s">
        <v>86</v>
      </c>
      <c r="D181" s="23">
        <v>0</v>
      </c>
      <c r="E181" s="23">
        <v>0</v>
      </c>
      <c r="F181" s="40">
        <f>+E181+D181</f>
        <v>0</v>
      </c>
      <c r="G181" s="40">
        <f>+G180+F181</f>
        <v>157956</v>
      </c>
      <c r="H181" s="62"/>
      <c r="I181" s="35"/>
      <c r="J181" s="10"/>
      <c r="K181" s="1"/>
      <c r="L181" s="32"/>
    </row>
    <row r="182" spans="1:12" ht="14.4" x14ac:dyDescent="0.3">
      <c r="A182" s="3"/>
      <c r="B182" s="5" t="s">
        <v>45</v>
      </c>
      <c r="C182" s="68" t="s">
        <v>45</v>
      </c>
      <c r="D182" s="69" t="s">
        <v>45</v>
      </c>
      <c r="E182" s="69" t="s">
        <v>45</v>
      </c>
      <c r="F182" s="69" t="s">
        <v>45</v>
      </c>
      <c r="G182" s="69" t="s">
        <v>45</v>
      </c>
      <c r="H182" s="6" t="s">
        <v>45</v>
      </c>
      <c r="I182" s="3"/>
    </row>
    <row r="183" spans="1:12" ht="14.4" x14ac:dyDescent="0.3">
      <c r="A183" s="3"/>
      <c r="B183" s="8" t="s">
        <v>27</v>
      </c>
      <c r="C183" s="70"/>
      <c r="D183" s="69" t="s">
        <v>45</v>
      </c>
      <c r="E183" s="69" t="s">
        <v>45</v>
      </c>
      <c r="F183" s="69" t="s">
        <v>45</v>
      </c>
      <c r="G183" s="69" t="s">
        <v>45</v>
      </c>
      <c r="H183" s="6" t="s">
        <v>45</v>
      </c>
      <c r="I183" s="3"/>
    </row>
    <row r="184" spans="1:12" ht="14.4" x14ac:dyDescent="0.3">
      <c r="A184" s="3"/>
      <c r="B184" s="9" t="s">
        <v>28</v>
      </c>
      <c r="C184" s="5"/>
      <c r="D184" s="6"/>
      <c r="E184" s="6"/>
      <c r="F184" s="71"/>
      <c r="G184" s="71"/>
      <c r="H184" s="72"/>
      <c r="I184" s="3"/>
    </row>
    <row r="185" spans="1:12" ht="14.4" x14ac:dyDescent="0.3">
      <c r="A185" s="3"/>
      <c r="B185" s="9" t="s">
        <v>29</v>
      </c>
      <c r="C185" s="5"/>
      <c r="D185" s="6"/>
      <c r="E185" s="6"/>
      <c r="F185" s="71"/>
      <c r="G185" s="69" t="s">
        <v>45</v>
      </c>
      <c r="H185" s="6" t="s">
        <v>45</v>
      </c>
      <c r="I185" s="3"/>
    </row>
    <row r="186" spans="1:12" ht="14.4" x14ac:dyDescent="0.3">
      <c r="A186" s="3"/>
      <c r="B186" s="9" t="s">
        <v>30</v>
      </c>
      <c r="C186" s="5"/>
      <c r="D186" s="6"/>
      <c r="E186" s="6"/>
      <c r="F186" s="69" t="s">
        <v>45</v>
      </c>
      <c r="G186" s="69" t="s">
        <v>45</v>
      </c>
      <c r="H186" s="6" t="s">
        <v>45</v>
      </c>
      <c r="I186" s="3"/>
    </row>
    <row r="187" spans="1:12" ht="14.4" x14ac:dyDescent="0.3">
      <c r="A187" s="3"/>
      <c r="B187" s="3"/>
      <c r="C187" s="54"/>
      <c r="D187" s="55"/>
      <c r="E187" s="55"/>
      <c r="F187" s="55"/>
      <c r="G187" s="55"/>
      <c r="H187" s="32"/>
      <c r="I187" s="3"/>
    </row>
    <row r="188" spans="1:12" ht="14.4" x14ac:dyDescent="0.3">
      <c r="A188" s="3"/>
      <c r="B188" s="50" t="s">
        <v>47</v>
      </c>
      <c r="C188" s="51"/>
      <c r="D188" s="52"/>
      <c r="E188" s="52"/>
      <c r="F188" s="52"/>
      <c r="G188" s="52"/>
      <c r="H188" s="53"/>
      <c r="I188" s="3"/>
    </row>
    <row r="189" spans="1:12" ht="14.4" x14ac:dyDescent="0.3">
      <c r="A189" s="3"/>
      <c r="B189" s="50" t="s">
        <v>44</v>
      </c>
      <c r="C189" s="51"/>
      <c r="D189" s="52"/>
      <c r="E189" s="52" t="s">
        <v>45</v>
      </c>
      <c r="F189" s="52" t="s">
        <v>45</v>
      </c>
      <c r="G189" s="52" t="s">
        <v>45</v>
      </c>
      <c r="H189" s="53" t="s">
        <v>45</v>
      </c>
      <c r="I189" s="3"/>
    </row>
    <row r="190" spans="1:12" ht="14.4" x14ac:dyDescent="0.3">
      <c r="A190" s="3"/>
      <c r="B190" s="3"/>
      <c r="C190" s="54"/>
      <c r="D190" s="55"/>
      <c r="E190" s="55"/>
      <c r="F190" s="55"/>
      <c r="G190" s="55"/>
      <c r="H190" s="32"/>
      <c r="I190" s="3"/>
    </row>
    <row r="191" spans="1:12" ht="14.4" x14ac:dyDescent="0.3">
      <c r="A191" s="3"/>
      <c r="B191" s="3"/>
      <c r="C191" s="54"/>
      <c r="D191" s="55"/>
      <c r="E191" s="55"/>
      <c r="F191" s="55"/>
      <c r="G191" s="55"/>
      <c r="H191" s="32"/>
      <c r="I191" s="3"/>
    </row>
    <row r="192" spans="1:12" ht="16.5" customHeight="1" x14ac:dyDescent="0.35">
      <c r="A192" s="25"/>
      <c r="B192" s="26" t="s">
        <v>45</v>
      </c>
      <c r="C192" s="56" t="s">
        <v>45</v>
      </c>
      <c r="D192" s="186" t="s">
        <v>48</v>
      </c>
      <c r="E192" s="186"/>
      <c r="F192" s="186"/>
      <c r="G192" s="186"/>
      <c r="H192" s="186"/>
      <c r="I192" s="2" t="s">
        <v>0</v>
      </c>
    </row>
    <row r="193" spans="1:11" ht="15.9" customHeight="1" x14ac:dyDescent="0.3">
      <c r="A193" s="3"/>
      <c r="B193" s="132" t="s">
        <v>89</v>
      </c>
      <c r="C193" s="132"/>
      <c r="D193" s="132"/>
      <c r="E193" s="132"/>
      <c r="F193" s="132"/>
      <c r="G193" s="132"/>
      <c r="H193" s="132"/>
      <c r="I193" s="2" t="s">
        <v>1</v>
      </c>
    </row>
    <row r="194" spans="1:11" ht="14.4" x14ac:dyDescent="0.3">
      <c r="A194" s="3"/>
      <c r="B194" s="14"/>
      <c r="C194" s="15"/>
      <c r="D194" s="152" t="s">
        <v>6</v>
      </c>
      <c r="E194" s="152"/>
      <c r="F194" s="152"/>
      <c r="G194" s="152"/>
      <c r="H194" s="180" t="s">
        <v>45</v>
      </c>
      <c r="I194" s="2" t="s">
        <v>2</v>
      </c>
    </row>
    <row r="195" spans="1:11" ht="14.4" x14ac:dyDescent="0.3">
      <c r="A195" s="3"/>
      <c r="B195" s="12"/>
      <c r="C195" s="13"/>
      <c r="D195" s="155" t="s">
        <v>9</v>
      </c>
      <c r="E195" s="155"/>
      <c r="F195" s="155"/>
      <c r="G195" s="155"/>
      <c r="H195" s="180"/>
      <c r="I195" s="2" t="s">
        <v>3</v>
      </c>
    </row>
    <row r="196" spans="1:11" ht="14.4" x14ac:dyDescent="0.3">
      <c r="A196" s="3"/>
      <c r="B196" s="111" t="s">
        <v>10</v>
      </c>
      <c r="C196" s="113" t="s">
        <v>11</v>
      </c>
      <c r="D196" s="44" t="s">
        <v>12</v>
      </c>
      <c r="E196" s="44" t="s">
        <v>13</v>
      </c>
      <c r="F196" s="44" t="s">
        <v>14</v>
      </c>
      <c r="G196" s="57" t="s">
        <v>15</v>
      </c>
      <c r="H196" s="175" t="s">
        <v>45</v>
      </c>
      <c r="I196" s="2" t="s">
        <v>4</v>
      </c>
    </row>
    <row r="197" spans="1:11" ht="14.4" x14ac:dyDescent="0.3">
      <c r="A197" s="3"/>
      <c r="B197" s="111"/>
      <c r="C197" s="113"/>
      <c r="D197" s="165" t="s">
        <v>20</v>
      </c>
      <c r="E197" s="165"/>
      <c r="F197" s="165"/>
      <c r="G197" s="165"/>
      <c r="H197" s="175"/>
      <c r="I197" s="3"/>
    </row>
    <row r="198" spans="1:11" ht="14.4" x14ac:dyDescent="0.3">
      <c r="A198" s="3"/>
      <c r="B198" s="33">
        <v>4</v>
      </c>
      <c r="C198" s="58" t="s">
        <v>21</v>
      </c>
      <c r="D198" s="59">
        <v>54998.5</v>
      </c>
      <c r="E198" s="23">
        <v>0</v>
      </c>
      <c r="F198" s="60">
        <f>+E198+D198</f>
        <v>54998.5</v>
      </c>
      <c r="G198" s="61">
        <f>+F198</f>
        <v>54998.5</v>
      </c>
      <c r="H198" s="62" t="s">
        <v>45</v>
      </c>
      <c r="I198" s="3"/>
    </row>
    <row r="199" spans="1:11" ht="14.4" x14ac:dyDescent="0.3">
      <c r="A199" s="3"/>
      <c r="B199" s="63">
        <v>5</v>
      </c>
      <c r="C199" s="64" t="s">
        <v>22</v>
      </c>
      <c r="D199" s="59">
        <v>284978.8</v>
      </c>
      <c r="E199" s="23">
        <v>0</v>
      </c>
      <c r="F199" s="60">
        <f>+E199+D199</f>
        <v>284978.8</v>
      </c>
      <c r="G199" s="61">
        <f>+G198+F199</f>
        <v>339977.3</v>
      </c>
      <c r="H199" s="62" t="s">
        <v>45</v>
      </c>
      <c r="I199" s="3"/>
    </row>
    <row r="200" spans="1:11" ht="14.4" x14ac:dyDescent="0.3">
      <c r="A200" s="3"/>
      <c r="B200" s="63">
        <v>6</v>
      </c>
      <c r="C200" s="64" t="s">
        <v>23</v>
      </c>
      <c r="D200" s="59">
        <v>180407</v>
      </c>
      <c r="E200" s="23">
        <v>0</v>
      </c>
      <c r="F200" s="60">
        <f>+E200+D200</f>
        <v>180407</v>
      </c>
      <c r="G200" s="61">
        <f>+G199+F200</f>
        <v>520384.3</v>
      </c>
      <c r="H200" s="62" t="s">
        <v>45</v>
      </c>
      <c r="I200" s="3"/>
    </row>
    <row r="201" spans="1:11" ht="14.4" x14ac:dyDescent="0.3">
      <c r="A201" s="3"/>
      <c r="B201" s="63">
        <v>7</v>
      </c>
      <c r="C201" s="64" t="s">
        <v>24</v>
      </c>
      <c r="D201" s="59">
        <v>315354.52</v>
      </c>
      <c r="E201" s="23">
        <v>33701</v>
      </c>
      <c r="F201" s="60">
        <f>+E201+D201</f>
        <v>349055.52</v>
      </c>
      <c r="G201" s="61">
        <f>+G200+F201</f>
        <v>869439.82000000007</v>
      </c>
      <c r="H201" s="62" t="s">
        <v>45</v>
      </c>
      <c r="I201" s="3"/>
    </row>
    <row r="202" spans="1:11" ht="14.4" x14ac:dyDescent="0.3">
      <c r="A202" s="3"/>
      <c r="B202" s="33">
        <v>8</v>
      </c>
      <c r="C202" s="31" t="s">
        <v>25</v>
      </c>
      <c r="D202" s="23">
        <v>291774.5</v>
      </c>
      <c r="E202" s="23">
        <v>0</v>
      </c>
      <c r="F202" s="60">
        <f>+E202+D202</f>
        <v>291774.5</v>
      </c>
      <c r="G202" s="65">
        <f>+G201+F202</f>
        <v>1161214.32</v>
      </c>
      <c r="H202" s="62"/>
      <c r="I202" s="10"/>
      <c r="J202" s="3"/>
      <c r="K202" s="3"/>
    </row>
    <row r="203" spans="1:11" s="3" customFormat="1" ht="14.4" x14ac:dyDescent="0.3">
      <c r="B203" s="33">
        <v>9</v>
      </c>
      <c r="C203" s="31" t="s">
        <v>26</v>
      </c>
      <c r="D203" s="23">
        <v>159144.5</v>
      </c>
      <c r="E203" s="23">
        <v>0</v>
      </c>
      <c r="F203" s="40">
        <f t="shared" ref="F203:F222" si="27">+E203+D203</f>
        <v>159144.5</v>
      </c>
      <c r="G203" s="65">
        <f t="shared" ref="G203:G222" si="28">+G202+F203</f>
        <v>1320358.82</v>
      </c>
      <c r="H203" s="62"/>
      <c r="I203" s="35"/>
      <c r="J203" s="35"/>
    </row>
    <row r="204" spans="1:11" s="3" customFormat="1" ht="14.4" x14ac:dyDescent="0.3">
      <c r="B204" s="33">
        <v>10</v>
      </c>
      <c r="C204" s="31" t="s">
        <v>55</v>
      </c>
      <c r="D204" s="23">
        <v>1295644.01</v>
      </c>
      <c r="E204" s="23">
        <f>29489.51-20</f>
        <v>29469.51</v>
      </c>
      <c r="F204" s="40">
        <f>+E204+D204</f>
        <v>1325113.52</v>
      </c>
      <c r="G204" s="65">
        <f>+G203+F204</f>
        <v>2645472.34</v>
      </c>
      <c r="H204" s="62"/>
      <c r="I204" s="35"/>
      <c r="J204" s="35"/>
    </row>
    <row r="205" spans="1:11" s="3" customFormat="1" ht="14.4" x14ac:dyDescent="0.3">
      <c r="B205" s="33">
        <v>11</v>
      </c>
      <c r="C205" s="31" t="s">
        <v>56</v>
      </c>
      <c r="D205" s="23">
        <v>291293.5</v>
      </c>
      <c r="E205" s="23">
        <v>0</v>
      </c>
      <c r="F205" s="40">
        <f t="shared" si="27"/>
        <v>291293.5</v>
      </c>
      <c r="G205" s="65">
        <f>+G204+F205</f>
        <v>2936765.84</v>
      </c>
      <c r="H205" s="62"/>
      <c r="I205" s="35"/>
      <c r="J205" s="35"/>
    </row>
    <row r="206" spans="1:11" s="3" customFormat="1" ht="14.4" x14ac:dyDescent="0.3">
      <c r="B206" s="33">
        <v>12</v>
      </c>
      <c r="C206" s="31" t="s">
        <v>71</v>
      </c>
      <c r="D206" s="23">
        <v>431881</v>
      </c>
      <c r="E206" s="23">
        <v>0</v>
      </c>
      <c r="F206" s="40">
        <f t="shared" si="27"/>
        <v>431881</v>
      </c>
      <c r="G206" s="65">
        <f t="shared" si="28"/>
        <v>3368646.84</v>
      </c>
      <c r="H206" s="62"/>
      <c r="I206" s="35"/>
      <c r="J206" s="35"/>
    </row>
    <row r="207" spans="1:11" s="3" customFormat="1" ht="14.4" x14ac:dyDescent="0.3">
      <c r="B207" s="33">
        <v>13</v>
      </c>
      <c r="C207" s="31" t="s">
        <v>57</v>
      </c>
      <c r="D207" s="23">
        <v>269828</v>
      </c>
      <c r="E207" s="23">
        <v>0</v>
      </c>
      <c r="F207" s="40">
        <f t="shared" si="27"/>
        <v>269828</v>
      </c>
      <c r="G207" s="65">
        <f t="shared" si="28"/>
        <v>3638474.84</v>
      </c>
      <c r="H207" s="62"/>
      <c r="I207" s="35"/>
      <c r="J207" s="35"/>
    </row>
    <row r="208" spans="1:11" s="3" customFormat="1" ht="15.6" customHeight="1" x14ac:dyDescent="0.3">
      <c r="B208" s="33">
        <v>14</v>
      </c>
      <c r="C208" s="49" t="s">
        <v>58</v>
      </c>
      <c r="D208" s="23">
        <v>168135</v>
      </c>
      <c r="E208" s="23">
        <v>0</v>
      </c>
      <c r="F208" s="40">
        <f t="shared" si="27"/>
        <v>168135</v>
      </c>
      <c r="G208" s="65">
        <f t="shared" si="28"/>
        <v>3806609.84</v>
      </c>
      <c r="H208" s="62"/>
      <c r="I208" s="35"/>
      <c r="J208" s="35"/>
    </row>
    <row r="209" spans="2:10" s="3" customFormat="1" ht="14.4" x14ac:dyDescent="0.3">
      <c r="B209" s="33">
        <v>15</v>
      </c>
      <c r="C209" s="31" t="s">
        <v>59</v>
      </c>
      <c r="D209" s="23">
        <v>180523</v>
      </c>
      <c r="E209" s="23">
        <v>0</v>
      </c>
      <c r="F209" s="40">
        <f t="shared" si="27"/>
        <v>180523</v>
      </c>
      <c r="G209" s="65">
        <f t="shared" si="28"/>
        <v>3987132.84</v>
      </c>
      <c r="H209" s="62"/>
      <c r="I209" s="35"/>
      <c r="J209" s="35"/>
    </row>
    <row r="210" spans="2:10" s="3" customFormat="1" ht="14.4" x14ac:dyDescent="0.3">
      <c r="B210" s="33">
        <v>16</v>
      </c>
      <c r="C210" s="31" t="s">
        <v>60</v>
      </c>
      <c r="D210" s="23">
        <v>170049</v>
      </c>
      <c r="E210" s="23">
        <v>0</v>
      </c>
      <c r="F210" s="40">
        <f t="shared" si="27"/>
        <v>170049</v>
      </c>
      <c r="G210" s="65">
        <f t="shared" si="28"/>
        <v>4157181.84</v>
      </c>
      <c r="H210" s="62"/>
      <c r="I210" s="35"/>
      <c r="J210" s="35"/>
    </row>
    <row r="211" spans="2:10" s="3" customFormat="1" ht="14.4" x14ac:dyDescent="0.3">
      <c r="B211" s="33">
        <v>17</v>
      </c>
      <c r="C211" s="31" t="s">
        <v>61</v>
      </c>
      <c r="D211" s="23">
        <v>43547.5</v>
      </c>
      <c r="E211" s="23">
        <v>0</v>
      </c>
      <c r="F211" s="40">
        <f t="shared" si="27"/>
        <v>43547.5</v>
      </c>
      <c r="G211" s="65">
        <f t="shared" si="28"/>
        <v>4200729.34</v>
      </c>
      <c r="H211" s="62"/>
      <c r="I211" s="35"/>
      <c r="J211" s="35"/>
    </row>
    <row r="212" spans="2:10" s="3" customFormat="1" ht="14.4" x14ac:dyDescent="0.3">
      <c r="B212" s="33">
        <v>18</v>
      </c>
      <c r="C212" s="31" t="s">
        <v>62</v>
      </c>
      <c r="D212" s="23">
        <v>0</v>
      </c>
      <c r="E212" s="23">
        <v>0</v>
      </c>
      <c r="F212" s="40">
        <f t="shared" si="27"/>
        <v>0</v>
      </c>
      <c r="G212" s="65">
        <f t="shared" si="28"/>
        <v>4200729.34</v>
      </c>
      <c r="H212" s="62"/>
      <c r="I212" s="35"/>
      <c r="J212" s="35"/>
    </row>
    <row r="213" spans="2:10" s="3" customFormat="1" ht="14.4" x14ac:dyDescent="0.3">
      <c r="B213" s="33">
        <v>19</v>
      </c>
      <c r="C213" s="31" t="s">
        <v>63</v>
      </c>
      <c r="D213" s="23">
        <v>7942</v>
      </c>
      <c r="E213" s="23">
        <v>0</v>
      </c>
      <c r="F213" s="40">
        <f t="shared" si="27"/>
        <v>7942</v>
      </c>
      <c r="G213" s="65">
        <f t="shared" si="28"/>
        <v>4208671.34</v>
      </c>
      <c r="H213" s="62"/>
      <c r="I213" s="35"/>
      <c r="J213" s="35"/>
    </row>
    <row r="214" spans="2:10" s="3" customFormat="1" ht="14.4" x14ac:dyDescent="0.3">
      <c r="B214" s="33">
        <v>20</v>
      </c>
      <c r="C214" s="31" t="s">
        <v>64</v>
      </c>
      <c r="D214" s="23">
        <v>3889</v>
      </c>
      <c r="E214" s="23">
        <v>0</v>
      </c>
      <c r="F214" s="40">
        <f t="shared" si="27"/>
        <v>3889</v>
      </c>
      <c r="G214" s="65">
        <f t="shared" si="28"/>
        <v>4212560.34</v>
      </c>
      <c r="H214" s="62"/>
      <c r="I214" s="35"/>
      <c r="J214" s="35"/>
    </row>
    <row r="215" spans="2:10" s="3" customFormat="1" ht="13.8" customHeight="1" x14ac:dyDescent="0.3">
      <c r="B215" s="33">
        <v>21</v>
      </c>
      <c r="C215" s="31" t="s">
        <v>65</v>
      </c>
      <c r="D215" s="23">
        <v>3154.5</v>
      </c>
      <c r="E215" s="23">
        <v>0</v>
      </c>
      <c r="F215" s="40">
        <f t="shared" si="27"/>
        <v>3154.5</v>
      </c>
      <c r="G215" s="65">
        <f t="shared" si="28"/>
        <v>4215714.84</v>
      </c>
      <c r="H215" s="62"/>
      <c r="I215" s="35"/>
      <c r="J215" s="35"/>
    </row>
    <row r="216" spans="2:10" s="3" customFormat="1" ht="13.8" customHeight="1" x14ac:dyDescent="0.3">
      <c r="B216" s="33">
        <v>22</v>
      </c>
      <c r="C216" s="31" t="s">
        <v>66</v>
      </c>
      <c r="D216" s="23">
        <v>20714.5</v>
      </c>
      <c r="E216" s="23">
        <v>0</v>
      </c>
      <c r="F216" s="40">
        <f t="shared" si="27"/>
        <v>20714.5</v>
      </c>
      <c r="G216" s="65">
        <f t="shared" si="28"/>
        <v>4236429.34</v>
      </c>
      <c r="H216" s="62"/>
      <c r="I216" s="35"/>
      <c r="J216" s="35"/>
    </row>
    <row r="217" spans="2:10" s="3" customFormat="1" ht="13.8" customHeight="1" x14ac:dyDescent="0.3">
      <c r="B217" s="33">
        <v>23</v>
      </c>
      <c r="C217" s="31" t="s">
        <v>67</v>
      </c>
      <c r="D217" s="23">
        <v>78694</v>
      </c>
      <c r="E217" s="23">
        <v>0</v>
      </c>
      <c r="F217" s="40">
        <f t="shared" si="27"/>
        <v>78694</v>
      </c>
      <c r="G217" s="65">
        <f t="shared" si="28"/>
        <v>4315123.34</v>
      </c>
      <c r="H217" s="62"/>
      <c r="I217" s="35"/>
      <c r="J217" s="35"/>
    </row>
    <row r="218" spans="2:10" s="3" customFormat="1" ht="13.8" customHeight="1" x14ac:dyDescent="0.3">
      <c r="B218" s="33">
        <v>24</v>
      </c>
      <c r="C218" s="31" t="s">
        <v>68</v>
      </c>
      <c r="D218" s="23">
        <v>2839.5</v>
      </c>
      <c r="E218" s="23">
        <v>0</v>
      </c>
      <c r="F218" s="40">
        <f t="shared" si="27"/>
        <v>2839.5</v>
      </c>
      <c r="G218" s="65">
        <f t="shared" si="28"/>
        <v>4317962.84</v>
      </c>
      <c r="H218" s="62"/>
      <c r="I218" s="35"/>
      <c r="J218" s="35"/>
    </row>
    <row r="219" spans="2:10" s="3" customFormat="1" ht="13.8" customHeight="1" x14ac:dyDescent="0.3">
      <c r="B219" s="33">
        <v>25</v>
      </c>
      <c r="C219" s="67" t="s">
        <v>69</v>
      </c>
      <c r="D219" s="23">
        <v>11389</v>
      </c>
      <c r="E219" s="23">
        <v>0</v>
      </c>
      <c r="F219" s="40">
        <f t="shared" si="27"/>
        <v>11389</v>
      </c>
      <c r="G219" s="65">
        <f t="shared" si="28"/>
        <v>4329351.84</v>
      </c>
      <c r="H219" s="62"/>
      <c r="I219" s="35"/>
      <c r="J219" s="35"/>
    </row>
    <row r="220" spans="2:10" s="3" customFormat="1" ht="13.8" customHeight="1" x14ac:dyDescent="0.3">
      <c r="B220" s="33">
        <v>26</v>
      </c>
      <c r="C220" s="67" t="s">
        <v>70</v>
      </c>
      <c r="D220" s="94">
        <v>9668.5</v>
      </c>
      <c r="E220" s="95">
        <v>0</v>
      </c>
      <c r="F220" s="96">
        <f t="shared" si="27"/>
        <v>9668.5</v>
      </c>
      <c r="G220" s="98">
        <f t="shared" si="28"/>
        <v>4339020.34</v>
      </c>
      <c r="H220" s="62"/>
      <c r="I220" s="35"/>
      <c r="J220" s="35"/>
    </row>
    <row r="221" spans="2:10" s="3" customFormat="1" ht="14.4" x14ac:dyDescent="0.3">
      <c r="B221" s="33">
        <v>27</v>
      </c>
      <c r="C221" s="31" t="s">
        <v>79</v>
      </c>
      <c r="D221" s="18">
        <v>0</v>
      </c>
      <c r="E221" s="18">
        <v>0</v>
      </c>
      <c r="F221" s="36">
        <f t="shared" si="27"/>
        <v>0</v>
      </c>
      <c r="G221" s="84">
        <f t="shared" si="28"/>
        <v>4339020.34</v>
      </c>
      <c r="H221" s="62"/>
      <c r="I221" s="35"/>
      <c r="J221" s="35"/>
    </row>
    <row r="222" spans="2:10" s="3" customFormat="1" ht="14.4" x14ac:dyDescent="0.3">
      <c r="B222" s="33">
        <v>28</v>
      </c>
      <c r="C222" s="67" t="s">
        <v>80</v>
      </c>
      <c r="D222" s="23">
        <v>0</v>
      </c>
      <c r="E222" s="23">
        <v>-600909</v>
      </c>
      <c r="F222" s="40">
        <f t="shared" si="27"/>
        <v>-600909</v>
      </c>
      <c r="G222" s="65">
        <f t="shared" si="28"/>
        <v>3738111.34</v>
      </c>
      <c r="H222" s="62"/>
      <c r="I222" s="35"/>
      <c r="J222" s="35"/>
    </row>
    <row r="223" spans="2:10" s="3" customFormat="1" ht="14.4" x14ac:dyDescent="0.3">
      <c r="B223" s="33">
        <v>29</v>
      </c>
      <c r="C223" s="67" t="s">
        <v>81</v>
      </c>
      <c r="D223" s="23">
        <v>0</v>
      </c>
      <c r="E223" s="23">
        <v>0</v>
      </c>
      <c r="F223" s="40">
        <f t="shared" ref="F223:F227" si="29">+E223+D223</f>
        <v>0</v>
      </c>
      <c r="G223" s="65">
        <f t="shared" ref="G223:G226" si="30">+G222+F223</f>
        <v>3738111.34</v>
      </c>
      <c r="H223" s="62"/>
      <c r="I223" s="35"/>
      <c r="J223" s="35"/>
    </row>
    <row r="224" spans="2:10" s="3" customFormat="1" ht="14.4" x14ac:dyDescent="0.3">
      <c r="B224" s="33">
        <v>30</v>
      </c>
      <c r="C224" s="67" t="s">
        <v>82</v>
      </c>
      <c r="D224" s="23">
        <v>0</v>
      </c>
      <c r="E224" s="23">
        <v>0</v>
      </c>
      <c r="F224" s="40">
        <f t="shared" si="29"/>
        <v>0</v>
      </c>
      <c r="G224" s="65">
        <f t="shared" si="30"/>
        <v>3738111.34</v>
      </c>
      <c r="H224" s="62"/>
      <c r="I224" s="35"/>
      <c r="J224" s="35"/>
    </row>
    <row r="225" spans="1:12" s="3" customFormat="1" ht="14.4" x14ac:dyDescent="0.3">
      <c r="B225" s="33">
        <v>31</v>
      </c>
      <c r="C225" s="67" t="s">
        <v>83</v>
      </c>
      <c r="D225" s="23">
        <v>0</v>
      </c>
      <c r="E225" s="23">
        <v>0</v>
      </c>
      <c r="F225" s="40">
        <f t="shared" si="29"/>
        <v>0</v>
      </c>
      <c r="G225" s="65">
        <f t="shared" si="30"/>
        <v>3738111.34</v>
      </c>
      <c r="H225" s="62"/>
      <c r="I225" s="35"/>
      <c r="J225" s="35"/>
    </row>
    <row r="226" spans="1:12" s="3" customFormat="1" ht="14.4" x14ac:dyDescent="0.3">
      <c r="B226" s="33">
        <v>32</v>
      </c>
      <c r="C226" s="67" t="s">
        <v>84</v>
      </c>
      <c r="D226" s="23">
        <v>0</v>
      </c>
      <c r="E226" s="23">
        <v>0</v>
      </c>
      <c r="F226" s="40">
        <f t="shared" si="29"/>
        <v>0</v>
      </c>
      <c r="G226" s="65">
        <f t="shared" si="30"/>
        <v>3738111.34</v>
      </c>
      <c r="H226" s="62"/>
      <c r="I226" s="35"/>
      <c r="J226" s="35"/>
    </row>
    <row r="227" spans="1:12" s="3" customFormat="1" ht="14.4" x14ac:dyDescent="0.3">
      <c r="B227" s="33">
        <v>33</v>
      </c>
      <c r="C227" s="67" t="s">
        <v>85</v>
      </c>
      <c r="D227" s="23">
        <v>0</v>
      </c>
      <c r="E227" s="23">
        <v>0</v>
      </c>
      <c r="F227" s="40">
        <f t="shared" si="29"/>
        <v>0</v>
      </c>
      <c r="G227" s="65">
        <f>+G226+F227</f>
        <v>3738111.34</v>
      </c>
      <c r="H227" s="62"/>
      <c r="I227" s="35"/>
      <c r="J227" s="35"/>
    </row>
    <row r="228" spans="1:12" s="3" customFormat="1" ht="14.4" x14ac:dyDescent="0.3">
      <c r="B228" s="33">
        <v>34</v>
      </c>
      <c r="C228" s="67" t="s">
        <v>87</v>
      </c>
      <c r="D228" s="23">
        <v>0</v>
      </c>
      <c r="E228" s="23">
        <v>0</v>
      </c>
      <c r="F228" s="40">
        <v>0</v>
      </c>
      <c r="G228" s="23">
        <f>+G227+F228</f>
        <v>3738111.34</v>
      </c>
      <c r="H228" s="62"/>
      <c r="I228" s="35"/>
      <c r="J228" s="10"/>
      <c r="K228" s="1"/>
      <c r="L228" s="32"/>
    </row>
    <row r="229" spans="1:12" s="3" customFormat="1" ht="14.4" x14ac:dyDescent="0.3">
      <c r="B229" s="33">
        <v>35</v>
      </c>
      <c r="C229" s="67" t="s">
        <v>86</v>
      </c>
      <c r="D229" s="23">
        <v>0</v>
      </c>
      <c r="E229" s="23">
        <v>0</v>
      </c>
      <c r="F229" s="40">
        <f>+E229+D229</f>
        <v>0</v>
      </c>
      <c r="G229" s="40">
        <f>+G228+F229</f>
        <v>3738111.34</v>
      </c>
      <c r="H229" s="62"/>
      <c r="I229" s="35"/>
      <c r="J229" s="10"/>
      <c r="K229" s="1"/>
      <c r="L229" s="32"/>
    </row>
    <row r="230" spans="1:12" ht="13.8" customHeight="1" x14ac:dyDescent="0.3">
      <c r="A230" s="3"/>
      <c r="B230" s="76"/>
      <c r="C230" s="77"/>
      <c r="D230" s="35"/>
      <c r="E230" s="35"/>
      <c r="F230" s="78"/>
      <c r="G230" s="35"/>
      <c r="H230" s="62"/>
      <c r="I230" s="35"/>
      <c r="J230" s="3"/>
      <c r="K230" s="3"/>
    </row>
    <row r="231" spans="1:12" ht="14.4" x14ac:dyDescent="0.3">
      <c r="A231" s="3"/>
      <c r="B231" s="8" t="s">
        <v>27</v>
      </c>
      <c r="C231" s="70"/>
      <c r="D231" s="69" t="s">
        <v>45</v>
      </c>
      <c r="E231" s="69" t="s">
        <v>45</v>
      </c>
      <c r="F231" s="69" t="s">
        <v>45</v>
      </c>
      <c r="G231" s="69" t="s">
        <v>45</v>
      </c>
      <c r="H231" s="6" t="s">
        <v>45</v>
      </c>
      <c r="I231" s="3"/>
    </row>
    <row r="232" spans="1:12" ht="14.4" x14ac:dyDescent="0.3">
      <c r="A232" s="3"/>
      <c r="B232" s="9" t="s">
        <v>28</v>
      </c>
      <c r="C232" s="5"/>
      <c r="D232" s="6"/>
      <c r="E232" s="6"/>
      <c r="F232" s="71"/>
      <c r="G232" s="71"/>
      <c r="H232" s="72"/>
      <c r="I232" s="3"/>
    </row>
    <row r="233" spans="1:12" ht="14.4" x14ac:dyDescent="0.3">
      <c r="A233" s="3"/>
      <c r="B233" s="9" t="s">
        <v>29</v>
      </c>
      <c r="C233" s="5"/>
      <c r="D233" s="6"/>
      <c r="E233" s="6"/>
      <c r="F233" s="71"/>
      <c r="G233" s="69" t="s">
        <v>45</v>
      </c>
      <c r="H233" s="6" t="s">
        <v>45</v>
      </c>
      <c r="I233" s="3"/>
    </row>
    <row r="234" spans="1:12" ht="14.4" x14ac:dyDescent="0.3">
      <c r="A234" s="3"/>
      <c r="B234" s="9" t="s">
        <v>30</v>
      </c>
      <c r="C234" s="5"/>
      <c r="D234" s="6"/>
      <c r="E234" s="6"/>
      <c r="F234" s="69" t="s">
        <v>45</v>
      </c>
      <c r="G234" s="69" t="s">
        <v>45</v>
      </c>
      <c r="H234" s="6" t="s">
        <v>45</v>
      </c>
      <c r="I234" s="3"/>
    </row>
    <row r="235" spans="1:12" ht="14.4" x14ac:dyDescent="0.3">
      <c r="A235" s="3"/>
      <c r="B235" s="9" t="s">
        <v>45</v>
      </c>
      <c r="C235" s="68" t="s">
        <v>45</v>
      </c>
      <c r="D235" s="69" t="s">
        <v>45</v>
      </c>
      <c r="E235" s="69" t="s">
        <v>45</v>
      </c>
      <c r="F235" s="69" t="s">
        <v>45</v>
      </c>
      <c r="G235" s="69" t="s">
        <v>45</v>
      </c>
      <c r="H235" s="6" t="s">
        <v>45</v>
      </c>
      <c r="I235" s="3"/>
    </row>
    <row r="236" spans="1:12" ht="14.4" x14ac:dyDescent="0.3">
      <c r="A236" s="3"/>
      <c r="B236" s="9" t="s">
        <v>45</v>
      </c>
      <c r="C236" s="68" t="s">
        <v>45</v>
      </c>
      <c r="D236" s="69" t="s">
        <v>45</v>
      </c>
      <c r="E236" s="69" t="s">
        <v>45</v>
      </c>
      <c r="F236" s="69" t="s">
        <v>45</v>
      </c>
      <c r="G236" s="69" t="s">
        <v>45</v>
      </c>
      <c r="H236" s="6" t="s">
        <v>45</v>
      </c>
      <c r="I236" s="3"/>
    </row>
    <row r="237" spans="1:12" ht="18" x14ac:dyDescent="0.35">
      <c r="A237" s="3"/>
      <c r="C237" s="73"/>
      <c r="D237" s="184" t="s">
        <v>31</v>
      </c>
      <c r="E237" s="184"/>
      <c r="F237" s="184"/>
      <c r="G237" s="184"/>
      <c r="H237" s="184"/>
      <c r="I237" s="3"/>
    </row>
    <row r="238" spans="1:12" ht="15.6" x14ac:dyDescent="0.3">
      <c r="A238" s="28"/>
      <c r="B238" s="24" t="s">
        <v>45</v>
      </c>
      <c r="C238" s="74" t="s">
        <v>45</v>
      </c>
      <c r="D238" s="185" t="s">
        <v>48</v>
      </c>
      <c r="E238" s="185"/>
      <c r="F238" s="185"/>
      <c r="G238" s="185"/>
      <c r="H238" s="185"/>
      <c r="I238" s="28"/>
    </row>
    <row r="239" spans="1:12" ht="15.9" customHeight="1" x14ac:dyDescent="0.3">
      <c r="A239" s="3"/>
      <c r="B239" s="132" t="s">
        <v>89</v>
      </c>
      <c r="C239" s="132"/>
      <c r="D239" s="132"/>
      <c r="E239" s="132"/>
      <c r="F239" s="132"/>
      <c r="G239" s="132"/>
      <c r="H239" s="132"/>
      <c r="I239" s="3"/>
    </row>
    <row r="240" spans="1:12" ht="14.4" x14ac:dyDescent="0.3">
      <c r="A240" s="3"/>
      <c r="B240" s="14"/>
      <c r="C240" s="15"/>
      <c r="D240" s="152" t="s">
        <v>6</v>
      </c>
      <c r="E240" s="152"/>
      <c r="F240" s="152"/>
      <c r="G240" s="152"/>
      <c r="H240" s="180" t="s">
        <v>45</v>
      </c>
      <c r="I240" s="3"/>
    </row>
    <row r="241" spans="1:11" ht="14.4" x14ac:dyDescent="0.3">
      <c r="A241" s="3"/>
      <c r="B241" s="12"/>
      <c r="C241" s="13"/>
      <c r="D241" s="155" t="s">
        <v>9</v>
      </c>
      <c r="E241" s="155"/>
      <c r="F241" s="155"/>
      <c r="G241" s="155"/>
      <c r="H241" s="180"/>
      <c r="I241" s="3"/>
    </row>
    <row r="242" spans="1:11" ht="14.4" x14ac:dyDescent="0.3">
      <c r="A242" s="3"/>
      <c r="B242" s="111" t="s">
        <v>10</v>
      </c>
      <c r="C242" s="113" t="s">
        <v>11</v>
      </c>
      <c r="D242" s="44" t="s">
        <v>12</v>
      </c>
      <c r="E242" s="44" t="s">
        <v>13</v>
      </c>
      <c r="F242" s="44" t="s">
        <v>14</v>
      </c>
      <c r="G242" s="57" t="s">
        <v>15</v>
      </c>
      <c r="H242" s="175" t="s">
        <v>45</v>
      </c>
      <c r="I242" s="3"/>
    </row>
    <row r="243" spans="1:11" ht="14.4" x14ac:dyDescent="0.3">
      <c r="A243" s="3"/>
      <c r="B243" s="111"/>
      <c r="C243" s="113"/>
      <c r="D243" s="165" t="s">
        <v>20</v>
      </c>
      <c r="E243" s="165"/>
      <c r="F243" s="165"/>
      <c r="G243" s="165"/>
      <c r="H243" s="175"/>
      <c r="I243" s="3"/>
    </row>
    <row r="244" spans="1:11" ht="14.4" x14ac:dyDescent="0.3">
      <c r="A244" s="3"/>
      <c r="B244" s="33">
        <v>4</v>
      </c>
      <c r="C244" s="58" t="s">
        <v>21</v>
      </c>
      <c r="D244" s="59">
        <v>54998.5</v>
      </c>
      <c r="E244" s="23">
        <v>0</v>
      </c>
      <c r="F244" s="60">
        <f>+E244+D244</f>
        <v>54998.5</v>
      </c>
      <c r="G244" s="61">
        <f>+F244</f>
        <v>54998.5</v>
      </c>
      <c r="H244" s="62" t="s">
        <v>45</v>
      </c>
      <c r="I244" s="3"/>
    </row>
    <row r="245" spans="1:11" ht="14.4" x14ac:dyDescent="0.3">
      <c r="A245" s="3"/>
      <c r="B245" s="63">
        <v>5</v>
      </c>
      <c r="C245" s="64" t="s">
        <v>22</v>
      </c>
      <c r="D245" s="59">
        <v>284978.8</v>
      </c>
      <c r="E245" s="23">
        <v>0</v>
      </c>
      <c r="F245" s="60">
        <f>+E245+D245</f>
        <v>284978.8</v>
      </c>
      <c r="G245" s="61">
        <f>+G244+F245</f>
        <v>339977.3</v>
      </c>
      <c r="H245" s="62" t="s">
        <v>45</v>
      </c>
      <c r="I245" s="3"/>
    </row>
    <row r="246" spans="1:11" ht="14.4" x14ac:dyDescent="0.3">
      <c r="A246" s="3"/>
      <c r="B246" s="63">
        <v>6</v>
      </c>
      <c r="C246" s="64" t="s">
        <v>23</v>
      </c>
      <c r="D246" s="59">
        <v>180407</v>
      </c>
      <c r="E246" s="23">
        <v>0</v>
      </c>
      <c r="F246" s="60">
        <f>+E246+D246</f>
        <v>180407</v>
      </c>
      <c r="G246" s="61">
        <f>+G245+F246</f>
        <v>520384.3</v>
      </c>
      <c r="H246" s="62" t="s">
        <v>45</v>
      </c>
      <c r="I246" s="3"/>
    </row>
    <row r="247" spans="1:11" ht="14.4" x14ac:dyDescent="0.3">
      <c r="A247" s="3"/>
      <c r="B247" s="63">
        <v>7</v>
      </c>
      <c r="C247" s="64" t="s">
        <v>24</v>
      </c>
      <c r="D247" s="59">
        <v>315354.52</v>
      </c>
      <c r="E247" s="23">
        <v>33701</v>
      </c>
      <c r="F247" s="60">
        <f>+E247+D247</f>
        <v>349055.52</v>
      </c>
      <c r="G247" s="61">
        <f>+G246+F247</f>
        <v>869439.82000000007</v>
      </c>
      <c r="H247" s="62" t="s">
        <v>45</v>
      </c>
      <c r="I247" s="3"/>
    </row>
    <row r="248" spans="1:11" ht="14.4" x14ac:dyDescent="0.3">
      <c r="A248" s="3"/>
      <c r="B248" s="33">
        <v>8</v>
      </c>
      <c r="C248" s="31" t="s">
        <v>25</v>
      </c>
      <c r="D248" s="23">
        <v>257132</v>
      </c>
      <c r="E248" s="23">
        <v>0</v>
      </c>
      <c r="F248" s="60">
        <f>+E248+D248</f>
        <v>257132</v>
      </c>
      <c r="G248" s="61">
        <f>+G247+F248</f>
        <v>1126571.82</v>
      </c>
      <c r="H248" s="62"/>
      <c r="I248" s="10"/>
      <c r="J248" s="3"/>
      <c r="K248" s="3"/>
    </row>
    <row r="249" spans="1:11" s="3" customFormat="1" ht="14.4" x14ac:dyDescent="0.3">
      <c r="B249" s="33">
        <v>9</v>
      </c>
      <c r="C249" s="31" t="s">
        <v>26</v>
      </c>
      <c r="D249" s="23">
        <v>159144.5</v>
      </c>
      <c r="E249" s="23">
        <v>0</v>
      </c>
      <c r="F249" s="40">
        <f t="shared" ref="F249:F268" si="31">+E249+D249</f>
        <v>159144.5</v>
      </c>
      <c r="G249" s="65">
        <f t="shared" ref="G249:G268" si="32">+G248+F249</f>
        <v>1285716.32</v>
      </c>
      <c r="H249" s="62"/>
      <c r="I249" s="35"/>
      <c r="J249" s="35"/>
    </row>
    <row r="250" spans="1:11" s="3" customFormat="1" ht="14.4" x14ac:dyDescent="0.3">
      <c r="B250" s="33">
        <v>10</v>
      </c>
      <c r="C250" s="31" t="s">
        <v>55</v>
      </c>
      <c r="D250" s="23">
        <v>694735.01</v>
      </c>
      <c r="E250" s="23">
        <v>29489.51</v>
      </c>
      <c r="F250" s="40">
        <f t="shared" si="31"/>
        <v>724224.52</v>
      </c>
      <c r="G250" s="65">
        <f t="shared" si="32"/>
        <v>2009940.84</v>
      </c>
      <c r="H250" s="62"/>
      <c r="I250" s="35"/>
      <c r="J250" s="35"/>
    </row>
    <row r="251" spans="1:11" s="3" customFormat="1" ht="14.4" x14ac:dyDescent="0.3">
      <c r="B251" s="33">
        <v>11</v>
      </c>
      <c r="C251" s="31" t="s">
        <v>56</v>
      </c>
      <c r="D251" s="23">
        <v>291293.5</v>
      </c>
      <c r="E251" s="23">
        <v>0</v>
      </c>
      <c r="F251" s="40">
        <f t="shared" si="31"/>
        <v>291293.5</v>
      </c>
      <c r="G251" s="65">
        <f t="shared" si="32"/>
        <v>2301234.34</v>
      </c>
      <c r="H251" s="62"/>
      <c r="I251" s="35"/>
      <c r="J251" s="35"/>
    </row>
    <row r="252" spans="1:11" s="3" customFormat="1" ht="14.4" x14ac:dyDescent="0.3">
      <c r="B252" s="33">
        <v>12</v>
      </c>
      <c r="C252" s="31" t="s">
        <v>71</v>
      </c>
      <c r="D252" s="23">
        <v>399630</v>
      </c>
      <c r="E252" s="23">
        <v>0</v>
      </c>
      <c r="F252" s="40">
        <f t="shared" si="31"/>
        <v>399630</v>
      </c>
      <c r="G252" s="65">
        <f t="shared" si="32"/>
        <v>2700864.34</v>
      </c>
      <c r="H252" s="62"/>
      <c r="I252" s="35"/>
      <c r="J252" s="35"/>
    </row>
    <row r="253" spans="1:11" s="3" customFormat="1" ht="14.4" x14ac:dyDescent="0.3">
      <c r="B253" s="33">
        <v>13</v>
      </c>
      <c r="C253" s="31" t="s">
        <v>57</v>
      </c>
      <c r="D253" s="23">
        <v>203822.5</v>
      </c>
      <c r="E253" s="23">
        <v>0</v>
      </c>
      <c r="F253" s="40">
        <f t="shared" si="31"/>
        <v>203822.5</v>
      </c>
      <c r="G253" s="65">
        <f t="shared" si="32"/>
        <v>2904686.84</v>
      </c>
      <c r="H253" s="62"/>
      <c r="I253" s="35"/>
      <c r="J253" s="35"/>
    </row>
    <row r="254" spans="1:11" s="3" customFormat="1" ht="15" customHeight="1" x14ac:dyDescent="0.3">
      <c r="B254" s="33">
        <v>14</v>
      </c>
      <c r="C254" s="49" t="s">
        <v>58</v>
      </c>
      <c r="D254" s="23">
        <v>150517</v>
      </c>
      <c r="E254" s="23">
        <v>0</v>
      </c>
      <c r="F254" s="40">
        <f t="shared" si="31"/>
        <v>150517</v>
      </c>
      <c r="G254" s="65">
        <f t="shared" si="32"/>
        <v>3055203.84</v>
      </c>
      <c r="H254" s="62"/>
      <c r="I254" s="35"/>
      <c r="J254" s="35"/>
    </row>
    <row r="255" spans="1:11" s="3" customFormat="1" ht="14.4" x14ac:dyDescent="0.3">
      <c r="B255" s="33">
        <v>15</v>
      </c>
      <c r="C255" s="31" t="s">
        <v>59</v>
      </c>
      <c r="D255" s="23">
        <v>180523</v>
      </c>
      <c r="E255" s="23">
        <v>0</v>
      </c>
      <c r="F255" s="40">
        <f t="shared" si="31"/>
        <v>180523</v>
      </c>
      <c r="G255" s="65">
        <f t="shared" si="32"/>
        <v>3235726.84</v>
      </c>
      <c r="H255" s="62"/>
      <c r="I255" s="35"/>
      <c r="J255" s="35"/>
    </row>
    <row r="256" spans="1:11" s="3" customFormat="1" ht="14.4" x14ac:dyDescent="0.3">
      <c r="B256" s="33">
        <v>16</v>
      </c>
      <c r="C256" s="31" t="s">
        <v>60</v>
      </c>
      <c r="D256" s="23">
        <v>170049</v>
      </c>
      <c r="E256" s="23">
        <v>0</v>
      </c>
      <c r="F256" s="40">
        <f t="shared" si="31"/>
        <v>170049</v>
      </c>
      <c r="G256" s="65">
        <f t="shared" si="32"/>
        <v>3405775.84</v>
      </c>
      <c r="H256" s="62"/>
      <c r="I256" s="35"/>
      <c r="J256" s="35"/>
    </row>
    <row r="257" spans="2:10" s="3" customFormat="1" ht="14.4" x14ac:dyDescent="0.3">
      <c r="B257" s="33">
        <v>17</v>
      </c>
      <c r="C257" s="31" t="s">
        <v>61</v>
      </c>
      <c r="D257" s="23">
        <v>43547.5</v>
      </c>
      <c r="E257" s="23">
        <v>0</v>
      </c>
      <c r="F257" s="40">
        <f t="shared" si="31"/>
        <v>43547.5</v>
      </c>
      <c r="G257" s="65">
        <f t="shared" si="32"/>
        <v>3449323.34</v>
      </c>
      <c r="H257" s="62"/>
      <c r="I257" s="35"/>
      <c r="J257" s="35"/>
    </row>
    <row r="258" spans="2:10" s="3" customFormat="1" ht="14.4" x14ac:dyDescent="0.3">
      <c r="B258" s="33">
        <v>18</v>
      </c>
      <c r="C258" s="31" t="s">
        <v>62</v>
      </c>
      <c r="D258" s="23">
        <v>0</v>
      </c>
      <c r="E258" s="23">
        <v>0</v>
      </c>
      <c r="F258" s="40">
        <f t="shared" si="31"/>
        <v>0</v>
      </c>
      <c r="G258" s="65">
        <f t="shared" si="32"/>
        <v>3449323.34</v>
      </c>
      <c r="H258" s="62"/>
      <c r="I258" s="35"/>
      <c r="J258" s="35"/>
    </row>
    <row r="259" spans="2:10" s="3" customFormat="1" ht="14.4" x14ac:dyDescent="0.3">
      <c r="B259" s="33">
        <v>19</v>
      </c>
      <c r="C259" s="31" t="s">
        <v>63</v>
      </c>
      <c r="D259" s="23">
        <v>7942</v>
      </c>
      <c r="E259" s="23">
        <v>0</v>
      </c>
      <c r="F259" s="40">
        <f t="shared" si="31"/>
        <v>7942</v>
      </c>
      <c r="G259" s="65">
        <f t="shared" si="32"/>
        <v>3457265.34</v>
      </c>
      <c r="H259" s="62"/>
      <c r="I259" s="35"/>
      <c r="J259" s="35"/>
    </row>
    <row r="260" spans="2:10" s="3" customFormat="1" ht="14.4" x14ac:dyDescent="0.3">
      <c r="B260" s="33">
        <v>20</v>
      </c>
      <c r="C260" s="31" t="s">
        <v>64</v>
      </c>
      <c r="D260" s="23">
        <v>3889</v>
      </c>
      <c r="E260" s="23">
        <v>0</v>
      </c>
      <c r="F260" s="40">
        <f t="shared" si="31"/>
        <v>3889</v>
      </c>
      <c r="G260" s="65">
        <f t="shared" si="32"/>
        <v>3461154.34</v>
      </c>
      <c r="H260" s="62"/>
      <c r="I260" s="35"/>
      <c r="J260" s="35"/>
    </row>
    <row r="261" spans="2:10" s="3" customFormat="1" ht="14.4" x14ac:dyDescent="0.3">
      <c r="B261" s="33">
        <v>21</v>
      </c>
      <c r="C261" s="31" t="s">
        <v>65</v>
      </c>
      <c r="D261" s="23">
        <v>3154.5</v>
      </c>
      <c r="E261" s="23">
        <v>0</v>
      </c>
      <c r="F261" s="40">
        <f t="shared" si="31"/>
        <v>3154.5</v>
      </c>
      <c r="G261" s="65">
        <f t="shared" si="32"/>
        <v>3464308.84</v>
      </c>
      <c r="H261" s="62"/>
      <c r="I261" s="35"/>
      <c r="J261" s="35"/>
    </row>
    <row r="262" spans="2:10" s="3" customFormat="1" ht="14.4" x14ac:dyDescent="0.3">
      <c r="B262" s="33">
        <v>22</v>
      </c>
      <c r="C262" s="31" t="s">
        <v>66</v>
      </c>
      <c r="D262" s="23">
        <v>20714.5</v>
      </c>
      <c r="E262" s="23">
        <v>0</v>
      </c>
      <c r="F262" s="40">
        <f t="shared" si="31"/>
        <v>20714.5</v>
      </c>
      <c r="G262" s="65">
        <f t="shared" si="32"/>
        <v>3485023.34</v>
      </c>
      <c r="H262" s="62"/>
      <c r="I262" s="35"/>
      <c r="J262" s="35"/>
    </row>
    <row r="263" spans="2:10" s="3" customFormat="1" ht="14.4" x14ac:dyDescent="0.3">
      <c r="B263" s="33">
        <v>23</v>
      </c>
      <c r="C263" s="31" t="s">
        <v>67</v>
      </c>
      <c r="D263" s="23">
        <v>78694</v>
      </c>
      <c r="E263" s="23">
        <v>0</v>
      </c>
      <c r="F263" s="40">
        <f t="shared" si="31"/>
        <v>78694</v>
      </c>
      <c r="G263" s="65">
        <f t="shared" si="32"/>
        <v>3563717.34</v>
      </c>
      <c r="H263" s="62"/>
      <c r="I263" s="35"/>
      <c r="J263" s="35"/>
    </row>
    <row r="264" spans="2:10" s="3" customFormat="1" ht="14.4" x14ac:dyDescent="0.3">
      <c r="B264" s="33">
        <v>24</v>
      </c>
      <c r="C264" s="31" t="s">
        <v>68</v>
      </c>
      <c r="D264" s="23">
        <v>2839.5</v>
      </c>
      <c r="E264" s="23">
        <v>0</v>
      </c>
      <c r="F264" s="40">
        <f t="shared" si="31"/>
        <v>2839.5</v>
      </c>
      <c r="G264" s="65">
        <f t="shared" si="32"/>
        <v>3566556.84</v>
      </c>
      <c r="H264" s="62"/>
      <c r="I264" s="35"/>
      <c r="J264" s="35"/>
    </row>
    <row r="265" spans="2:10" s="3" customFormat="1" ht="14.4" x14ac:dyDescent="0.3">
      <c r="B265" s="33">
        <v>25</v>
      </c>
      <c r="C265" s="67" t="s">
        <v>69</v>
      </c>
      <c r="D265" s="23">
        <v>11389</v>
      </c>
      <c r="E265" s="23">
        <v>0</v>
      </c>
      <c r="F265" s="40">
        <f t="shared" si="31"/>
        <v>11389</v>
      </c>
      <c r="G265" s="65">
        <f t="shared" si="32"/>
        <v>3577945.84</v>
      </c>
      <c r="H265" s="62"/>
      <c r="I265" s="35"/>
      <c r="J265" s="35"/>
    </row>
    <row r="266" spans="2:10" s="3" customFormat="1" ht="14.4" x14ac:dyDescent="0.3">
      <c r="B266" s="33">
        <v>26</v>
      </c>
      <c r="C266" s="67" t="s">
        <v>70</v>
      </c>
      <c r="D266" s="94">
        <v>9668.5</v>
      </c>
      <c r="E266" s="95">
        <v>0</v>
      </c>
      <c r="F266" s="96">
        <f t="shared" si="31"/>
        <v>9668.5</v>
      </c>
      <c r="G266" s="98">
        <f t="shared" si="32"/>
        <v>3587614.34</v>
      </c>
      <c r="H266" s="62"/>
      <c r="I266" s="35"/>
      <c r="J266" s="35"/>
    </row>
    <row r="267" spans="2:10" s="3" customFormat="1" ht="14.4" x14ac:dyDescent="0.3">
      <c r="B267" s="33">
        <v>27</v>
      </c>
      <c r="C267" s="31" t="s">
        <v>79</v>
      </c>
      <c r="D267" s="18">
        <v>0</v>
      </c>
      <c r="E267" s="18">
        <v>0</v>
      </c>
      <c r="F267" s="36">
        <f t="shared" si="31"/>
        <v>0</v>
      </c>
      <c r="G267" s="84">
        <f t="shared" si="32"/>
        <v>3587614.34</v>
      </c>
      <c r="H267" s="62"/>
      <c r="I267" s="35"/>
      <c r="J267" s="35"/>
    </row>
    <row r="268" spans="2:10" s="3" customFormat="1" ht="13.2" customHeight="1" x14ac:dyDescent="0.3">
      <c r="B268" s="33">
        <v>28</v>
      </c>
      <c r="C268" s="67" t="s">
        <v>80</v>
      </c>
      <c r="D268" s="23">
        <v>0</v>
      </c>
      <c r="E268" s="23">
        <v>0</v>
      </c>
      <c r="F268" s="40">
        <f t="shared" si="31"/>
        <v>0</v>
      </c>
      <c r="G268" s="65">
        <f t="shared" si="32"/>
        <v>3587614.34</v>
      </c>
      <c r="H268" s="62"/>
      <c r="I268" s="35"/>
      <c r="J268" s="35"/>
    </row>
    <row r="269" spans="2:10" s="3" customFormat="1" ht="13.2" customHeight="1" x14ac:dyDescent="0.3">
      <c r="B269" s="33">
        <v>29</v>
      </c>
      <c r="C269" s="67" t="s">
        <v>81</v>
      </c>
      <c r="D269" s="23">
        <v>0</v>
      </c>
      <c r="E269" s="23">
        <v>0</v>
      </c>
      <c r="F269" s="40">
        <f t="shared" ref="F269:F273" si="33">+E269+D269</f>
        <v>0</v>
      </c>
      <c r="G269" s="65">
        <f t="shared" ref="G269:G272" si="34">+G268+F269</f>
        <v>3587614.34</v>
      </c>
      <c r="H269" s="62"/>
      <c r="I269" s="35"/>
      <c r="J269" s="35"/>
    </row>
    <row r="270" spans="2:10" s="3" customFormat="1" ht="13.2" customHeight="1" x14ac:dyDescent="0.3">
      <c r="B270" s="33">
        <v>30</v>
      </c>
      <c r="C270" s="67" t="s">
        <v>82</v>
      </c>
      <c r="D270" s="23">
        <v>0</v>
      </c>
      <c r="E270" s="23">
        <v>0</v>
      </c>
      <c r="F270" s="40">
        <f t="shared" si="33"/>
        <v>0</v>
      </c>
      <c r="G270" s="65">
        <f t="shared" si="34"/>
        <v>3587614.34</v>
      </c>
      <c r="H270" s="62"/>
      <c r="I270" s="35"/>
      <c r="J270" s="35"/>
    </row>
    <row r="271" spans="2:10" s="3" customFormat="1" ht="13.2" customHeight="1" x14ac:dyDescent="0.3">
      <c r="B271" s="33">
        <v>31</v>
      </c>
      <c r="C271" s="67" t="s">
        <v>83</v>
      </c>
      <c r="D271" s="23">
        <v>0</v>
      </c>
      <c r="E271" s="23">
        <v>0</v>
      </c>
      <c r="F271" s="40">
        <f t="shared" si="33"/>
        <v>0</v>
      </c>
      <c r="G271" s="65">
        <f t="shared" si="34"/>
        <v>3587614.34</v>
      </c>
      <c r="H271" s="62"/>
      <c r="I271" s="35"/>
      <c r="J271" s="35"/>
    </row>
    <row r="272" spans="2:10" s="3" customFormat="1" ht="13.2" customHeight="1" x14ac:dyDescent="0.3">
      <c r="B272" s="33">
        <v>32</v>
      </c>
      <c r="C272" s="67" t="s">
        <v>84</v>
      </c>
      <c r="D272" s="23">
        <v>0</v>
      </c>
      <c r="E272" s="23">
        <v>0</v>
      </c>
      <c r="F272" s="40">
        <f t="shared" si="33"/>
        <v>0</v>
      </c>
      <c r="G272" s="65">
        <f t="shared" si="34"/>
        <v>3587614.34</v>
      </c>
      <c r="H272" s="62"/>
      <c r="I272" s="35"/>
      <c r="J272" s="35"/>
    </row>
    <row r="273" spans="1:12" s="3" customFormat="1" ht="14.4" x14ac:dyDescent="0.3">
      <c r="B273" s="33">
        <v>33</v>
      </c>
      <c r="C273" s="67" t="s">
        <v>85</v>
      </c>
      <c r="D273" s="23">
        <v>0</v>
      </c>
      <c r="E273" s="23">
        <v>0</v>
      </c>
      <c r="F273" s="40">
        <f t="shared" si="33"/>
        <v>0</v>
      </c>
      <c r="G273" s="65">
        <f>+G272+F273</f>
        <v>3587614.34</v>
      </c>
      <c r="H273" s="62"/>
      <c r="I273" s="35"/>
      <c r="J273" s="35"/>
    </row>
    <row r="274" spans="1:12" s="3" customFormat="1" ht="14.4" x14ac:dyDescent="0.3">
      <c r="B274" s="33">
        <v>34</v>
      </c>
      <c r="C274" s="67" t="s">
        <v>87</v>
      </c>
      <c r="D274" s="23">
        <v>0</v>
      </c>
      <c r="E274" s="23">
        <v>0</v>
      </c>
      <c r="F274" s="40">
        <v>0</v>
      </c>
      <c r="G274" s="23">
        <f>+G273+F274</f>
        <v>3587614.34</v>
      </c>
      <c r="H274" s="62"/>
      <c r="I274" s="35"/>
      <c r="J274" s="10"/>
      <c r="K274" s="1"/>
      <c r="L274" s="32"/>
    </row>
    <row r="275" spans="1:12" s="3" customFormat="1" ht="14.4" x14ac:dyDescent="0.3">
      <c r="B275" s="33">
        <v>35</v>
      </c>
      <c r="C275" s="67" t="s">
        <v>86</v>
      </c>
      <c r="D275" s="23">
        <v>0</v>
      </c>
      <c r="E275" s="23">
        <v>0</v>
      </c>
      <c r="F275" s="40">
        <f>+E275+D275</f>
        <v>0</v>
      </c>
      <c r="G275" s="40">
        <f>+G274+F275</f>
        <v>3587614.34</v>
      </c>
      <c r="H275" s="62"/>
      <c r="I275" s="35"/>
      <c r="J275" s="10"/>
      <c r="K275" s="1"/>
      <c r="L275" s="32"/>
    </row>
    <row r="276" spans="1:12" ht="14.4" x14ac:dyDescent="0.3">
      <c r="A276" s="3"/>
      <c r="B276" s="5" t="s">
        <v>45</v>
      </c>
      <c r="C276" s="68" t="s">
        <v>45</v>
      </c>
      <c r="D276" s="69" t="s">
        <v>45</v>
      </c>
      <c r="E276" s="69" t="s">
        <v>45</v>
      </c>
      <c r="F276" s="69" t="s">
        <v>45</v>
      </c>
      <c r="G276" s="69" t="s">
        <v>45</v>
      </c>
      <c r="H276" s="6" t="s">
        <v>45</v>
      </c>
      <c r="I276" s="3"/>
    </row>
    <row r="277" spans="1:12" ht="14.4" x14ac:dyDescent="0.3">
      <c r="A277" s="3"/>
      <c r="B277" s="8" t="s">
        <v>27</v>
      </c>
      <c r="C277" s="70"/>
      <c r="D277" s="69" t="s">
        <v>45</v>
      </c>
      <c r="E277" s="69" t="s">
        <v>45</v>
      </c>
      <c r="F277" s="69" t="s">
        <v>45</v>
      </c>
      <c r="G277" s="69" t="s">
        <v>45</v>
      </c>
      <c r="H277" s="6" t="s">
        <v>45</v>
      </c>
      <c r="I277" s="3"/>
    </row>
    <row r="278" spans="1:12" ht="14.4" x14ac:dyDescent="0.3">
      <c r="A278" s="3"/>
      <c r="B278" s="9" t="s">
        <v>28</v>
      </c>
      <c r="C278" s="5"/>
      <c r="D278" s="6"/>
      <c r="E278" s="6"/>
      <c r="F278" s="71"/>
      <c r="G278" s="71"/>
      <c r="H278" s="72"/>
      <c r="I278" s="3"/>
    </row>
    <row r="279" spans="1:12" ht="14.4" x14ac:dyDescent="0.3">
      <c r="A279" s="3"/>
      <c r="B279" s="9" t="s">
        <v>29</v>
      </c>
      <c r="C279" s="5"/>
      <c r="D279" s="6"/>
      <c r="E279" s="6"/>
      <c r="F279" s="71"/>
      <c r="G279" s="69" t="s">
        <v>45</v>
      </c>
      <c r="H279" s="6" t="s">
        <v>45</v>
      </c>
      <c r="I279" s="3"/>
    </row>
    <row r="280" spans="1:12" ht="14.4" x14ac:dyDescent="0.3">
      <c r="A280" s="3"/>
      <c r="B280" s="9" t="s">
        <v>30</v>
      </c>
      <c r="C280" s="5"/>
      <c r="D280" s="6"/>
      <c r="E280" s="6"/>
      <c r="F280" s="69" t="s">
        <v>45</v>
      </c>
      <c r="G280" s="69" t="s">
        <v>45</v>
      </c>
      <c r="H280" s="6" t="s">
        <v>45</v>
      </c>
      <c r="I280" s="3"/>
    </row>
    <row r="281" spans="1:12" ht="14.4" x14ac:dyDescent="0.3">
      <c r="A281" s="3"/>
      <c r="B281" s="10"/>
      <c r="C281" s="73"/>
      <c r="D281" s="75"/>
      <c r="E281" s="75"/>
      <c r="F281" s="75"/>
      <c r="G281" s="75"/>
      <c r="H281" s="35"/>
      <c r="I281" s="3"/>
    </row>
    <row r="282" spans="1:12" ht="14.4" x14ac:dyDescent="0.3">
      <c r="A282" s="3"/>
      <c r="B282" s="10"/>
      <c r="C282" s="73"/>
      <c r="D282" s="75"/>
      <c r="E282" s="75"/>
      <c r="F282" s="75"/>
      <c r="G282" s="75"/>
      <c r="H282" s="35"/>
      <c r="I282" s="3"/>
    </row>
    <row r="283" spans="1:12" ht="18" x14ac:dyDescent="0.35">
      <c r="A283" s="3"/>
      <c r="C283" s="73"/>
      <c r="D283" s="182" t="s">
        <v>33</v>
      </c>
      <c r="E283" s="182"/>
      <c r="F283" s="182"/>
      <c r="G283" s="182"/>
      <c r="H283" s="182"/>
      <c r="I283" s="3"/>
    </row>
    <row r="284" spans="1:12" ht="15.6" x14ac:dyDescent="0.3">
      <c r="A284" s="28"/>
      <c r="B284" s="24" t="s">
        <v>45</v>
      </c>
      <c r="C284" s="74" t="s">
        <v>45</v>
      </c>
      <c r="D284" s="183" t="s">
        <v>48</v>
      </c>
      <c r="E284" s="183"/>
      <c r="F284" s="183"/>
      <c r="G284" s="183"/>
      <c r="H284" s="183"/>
      <c r="I284" s="28"/>
    </row>
    <row r="285" spans="1:12" ht="15.9" customHeight="1" x14ac:dyDescent="0.3">
      <c r="A285" s="3"/>
      <c r="B285" s="132" t="s">
        <v>89</v>
      </c>
      <c r="C285" s="132"/>
      <c r="D285" s="132"/>
      <c r="E285" s="132"/>
      <c r="F285" s="132"/>
      <c r="G285" s="132"/>
      <c r="H285" s="132"/>
      <c r="I285" s="3"/>
    </row>
    <row r="286" spans="1:12" ht="14.4" x14ac:dyDescent="0.3">
      <c r="A286" s="3"/>
      <c r="B286" s="14"/>
      <c r="C286" s="15"/>
      <c r="D286" s="152" t="s">
        <v>6</v>
      </c>
      <c r="E286" s="152"/>
      <c r="F286" s="152"/>
      <c r="G286" s="152"/>
      <c r="H286" s="180" t="s">
        <v>45</v>
      </c>
      <c r="I286" s="3"/>
    </row>
    <row r="287" spans="1:12" ht="14.4" x14ac:dyDescent="0.3">
      <c r="A287" s="3"/>
      <c r="B287" s="12"/>
      <c r="C287" s="13"/>
      <c r="D287" s="155" t="s">
        <v>9</v>
      </c>
      <c r="E287" s="155"/>
      <c r="F287" s="155"/>
      <c r="G287" s="155"/>
      <c r="H287" s="180"/>
      <c r="I287" s="3"/>
    </row>
    <row r="288" spans="1:12" ht="14.4" x14ac:dyDescent="0.3">
      <c r="A288" s="3"/>
      <c r="B288" s="111" t="s">
        <v>10</v>
      </c>
      <c r="C288" s="113" t="s">
        <v>11</v>
      </c>
      <c r="D288" s="44" t="s">
        <v>12</v>
      </c>
      <c r="E288" s="44" t="s">
        <v>13</v>
      </c>
      <c r="F288" s="44" t="s">
        <v>14</v>
      </c>
      <c r="G288" s="57" t="s">
        <v>15</v>
      </c>
      <c r="H288" s="175" t="s">
        <v>45</v>
      </c>
      <c r="I288" s="3"/>
    </row>
    <row r="289" spans="1:11" ht="14.4" x14ac:dyDescent="0.3">
      <c r="A289" s="3"/>
      <c r="B289" s="111"/>
      <c r="C289" s="113"/>
      <c r="D289" s="165" t="s">
        <v>20</v>
      </c>
      <c r="E289" s="165"/>
      <c r="F289" s="165"/>
      <c r="G289" s="165"/>
      <c r="H289" s="175"/>
      <c r="I289" s="3"/>
    </row>
    <row r="290" spans="1:11" ht="14.4" x14ac:dyDescent="0.3">
      <c r="A290" s="3"/>
      <c r="B290" s="33">
        <v>4</v>
      </c>
      <c r="C290" s="58" t="s">
        <v>21</v>
      </c>
      <c r="D290" s="23">
        <v>0</v>
      </c>
      <c r="E290" s="23">
        <v>0</v>
      </c>
      <c r="F290" s="40">
        <v>0</v>
      </c>
      <c r="G290" s="23">
        <v>0</v>
      </c>
      <c r="H290" s="62" t="s">
        <v>45</v>
      </c>
      <c r="I290" s="3"/>
    </row>
    <row r="291" spans="1:11" ht="14.4" x14ac:dyDescent="0.3">
      <c r="A291" s="3"/>
      <c r="B291" s="63">
        <v>5</v>
      </c>
      <c r="C291" s="64" t="s">
        <v>22</v>
      </c>
      <c r="D291" s="23">
        <v>0</v>
      </c>
      <c r="E291" s="23">
        <v>0</v>
      </c>
      <c r="F291" s="40">
        <v>0</v>
      </c>
      <c r="G291" s="23">
        <v>0</v>
      </c>
      <c r="H291" s="62" t="s">
        <v>45</v>
      </c>
      <c r="I291" s="3"/>
    </row>
    <row r="292" spans="1:11" ht="14.4" x14ac:dyDescent="0.3">
      <c r="A292" s="3"/>
      <c r="B292" s="63">
        <v>6</v>
      </c>
      <c r="C292" s="64" t="s">
        <v>23</v>
      </c>
      <c r="D292" s="23">
        <v>0</v>
      </c>
      <c r="E292" s="23">
        <v>0</v>
      </c>
      <c r="F292" s="40">
        <v>0</v>
      </c>
      <c r="G292" s="23">
        <v>0</v>
      </c>
      <c r="H292" s="62" t="s">
        <v>45</v>
      </c>
      <c r="I292" s="3"/>
    </row>
    <row r="293" spans="1:11" ht="14.4" x14ac:dyDescent="0.3">
      <c r="A293" s="3"/>
      <c r="B293" s="63">
        <v>7</v>
      </c>
      <c r="C293" s="64" t="s">
        <v>24</v>
      </c>
      <c r="D293" s="23">
        <v>0</v>
      </c>
      <c r="E293" s="23">
        <v>0</v>
      </c>
      <c r="F293" s="40">
        <v>0</v>
      </c>
      <c r="G293" s="23">
        <v>0</v>
      </c>
      <c r="H293" s="62" t="s">
        <v>45</v>
      </c>
      <c r="I293" s="3"/>
    </row>
    <row r="294" spans="1:11" ht="14.4" x14ac:dyDescent="0.3">
      <c r="A294" s="3"/>
      <c r="B294" s="33">
        <v>8</v>
      </c>
      <c r="C294" s="31" t="s">
        <v>25</v>
      </c>
      <c r="D294" s="23">
        <v>34642.5</v>
      </c>
      <c r="E294" s="23">
        <v>0</v>
      </c>
      <c r="F294" s="40">
        <f t="shared" ref="F294:F314" si="35">+E294+D294</f>
        <v>34642.5</v>
      </c>
      <c r="G294" s="65">
        <f t="shared" ref="G294:G314" si="36">+G293+F294</f>
        <v>34642.5</v>
      </c>
      <c r="H294" s="62"/>
      <c r="I294" s="10"/>
      <c r="J294" s="3"/>
      <c r="K294" s="3"/>
    </row>
    <row r="295" spans="1:11" s="3" customFormat="1" ht="14.4" x14ac:dyDescent="0.3">
      <c r="B295" s="33">
        <v>9</v>
      </c>
      <c r="C295" s="31" t="s">
        <v>26</v>
      </c>
      <c r="D295" s="23">
        <v>0</v>
      </c>
      <c r="E295" s="23">
        <v>0</v>
      </c>
      <c r="F295" s="40">
        <f t="shared" si="35"/>
        <v>0</v>
      </c>
      <c r="G295" s="65">
        <f t="shared" si="36"/>
        <v>34642.5</v>
      </c>
      <c r="H295" s="62"/>
      <c r="I295" s="35"/>
      <c r="J295" s="35"/>
    </row>
    <row r="296" spans="1:11" s="3" customFormat="1" ht="14.4" x14ac:dyDescent="0.3">
      <c r="B296" s="33">
        <v>10</v>
      </c>
      <c r="C296" s="31" t="s">
        <v>55</v>
      </c>
      <c r="D296" s="23">
        <v>600909</v>
      </c>
      <c r="E296" s="23">
        <v>0</v>
      </c>
      <c r="F296" s="40">
        <f t="shared" si="35"/>
        <v>600909</v>
      </c>
      <c r="G296" s="65">
        <f t="shared" si="36"/>
        <v>635551.5</v>
      </c>
      <c r="H296" s="62"/>
      <c r="I296" s="35"/>
      <c r="J296" s="35"/>
    </row>
    <row r="297" spans="1:11" s="3" customFormat="1" ht="14.4" x14ac:dyDescent="0.3">
      <c r="B297" s="33">
        <v>11</v>
      </c>
      <c r="C297" s="31" t="s">
        <v>56</v>
      </c>
      <c r="D297" s="23">
        <v>0</v>
      </c>
      <c r="E297" s="23">
        <v>0</v>
      </c>
      <c r="F297" s="40">
        <f t="shared" si="35"/>
        <v>0</v>
      </c>
      <c r="G297" s="65">
        <f t="shared" si="36"/>
        <v>635551.5</v>
      </c>
      <c r="H297" s="62"/>
      <c r="I297" s="35"/>
      <c r="J297" s="35"/>
    </row>
    <row r="298" spans="1:11" s="3" customFormat="1" ht="14.4" x14ac:dyDescent="0.3">
      <c r="B298" s="33">
        <v>12</v>
      </c>
      <c r="C298" s="31" t="s">
        <v>71</v>
      </c>
      <c r="D298" s="23">
        <v>32251</v>
      </c>
      <c r="E298" s="23">
        <v>0</v>
      </c>
      <c r="F298" s="40">
        <f t="shared" si="35"/>
        <v>32251</v>
      </c>
      <c r="G298" s="65">
        <f t="shared" si="36"/>
        <v>667802.5</v>
      </c>
      <c r="H298" s="62"/>
      <c r="I298" s="35"/>
      <c r="J298" s="35"/>
    </row>
    <row r="299" spans="1:11" s="3" customFormat="1" ht="14.4" x14ac:dyDescent="0.3">
      <c r="B299" s="33">
        <v>13</v>
      </c>
      <c r="C299" s="31" t="s">
        <v>57</v>
      </c>
      <c r="D299" s="23">
        <v>66005.5</v>
      </c>
      <c r="E299" s="23">
        <v>0</v>
      </c>
      <c r="F299" s="40">
        <f t="shared" si="35"/>
        <v>66005.5</v>
      </c>
      <c r="G299" s="65">
        <f t="shared" si="36"/>
        <v>733808</v>
      </c>
      <c r="H299" s="62"/>
      <c r="I299" s="35"/>
      <c r="J299" s="35"/>
    </row>
    <row r="300" spans="1:11" s="3" customFormat="1" ht="15" customHeight="1" x14ac:dyDescent="0.3">
      <c r="B300" s="33">
        <v>14</v>
      </c>
      <c r="C300" s="49" t="s">
        <v>58</v>
      </c>
      <c r="D300" s="23">
        <v>17618</v>
      </c>
      <c r="E300" s="23">
        <v>0</v>
      </c>
      <c r="F300" s="40">
        <f t="shared" si="35"/>
        <v>17618</v>
      </c>
      <c r="G300" s="65">
        <f t="shared" si="36"/>
        <v>751426</v>
      </c>
      <c r="H300" s="62"/>
      <c r="I300" s="35"/>
      <c r="J300" s="35"/>
    </row>
    <row r="301" spans="1:11" s="3" customFormat="1" ht="14.4" x14ac:dyDescent="0.3">
      <c r="B301" s="33">
        <v>15</v>
      </c>
      <c r="C301" s="31" t="s">
        <v>59</v>
      </c>
      <c r="D301" s="23">
        <v>0</v>
      </c>
      <c r="E301" s="23">
        <v>0</v>
      </c>
      <c r="F301" s="40">
        <f t="shared" si="35"/>
        <v>0</v>
      </c>
      <c r="G301" s="65">
        <f t="shared" si="36"/>
        <v>751426</v>
      </c>
      <c r="H301" s="62"/>
      <c r="I301" s="35"/>
      <c r="J301" s="35"/>
    </row>
    <row r="302" spans="1:11" s="3" customFormat="1" ht="14.4" x14ac:dyDescent="0.3">
      <c r="B302" s="33">
        <v>16</v>
      </c>
      <c r="C302" s="31" t="s">
        <v>60</v>
      </c>
      <c r="D302" s="23">
        <v>0</v>
      </c>
      <c r="E302" s="23">
        <v>0</v>
      </c>
      <c r="F302" s="40">
        <f t="shared" si="35"/>
        <v>0</v>
      </c>
      <c r="G302" s="65">
        <f t="shared" si="36"/>
        <v>751426</v>
      </c>
      <c r="H302" s="62"/>
      <c r="I302" s="35"/>
      <c r="J302" s="35"/>
    </row>
    <row r="303" spans="1:11" s="3" customFormat="1" ht="14.4" x14ac:dyDescent="0.3">
      <c r="B303" s="33">
        <v>17</v>
      </c>
      <c r="C303" s="31" t="s">
        <v>61</v>
      </c>
      <c r="D303" s="23">
        <v>0</v>
      </c>
      <c r="E303" s="23">
        <v>0</v>
      </c>
      <c r="F303" s="40">
        <f t="shared" si="35"/>
        <v>0</v>
      </c>
      <c r="G303" s="65">
        <f t="shared" si="36"/>
        <v>751426</v>
      </c>
      <c r="H303" s="62"/>
      <c r="I303" s="35"/>
      <c r="J303" s="35"/>
    </row>
    <row r="304" spans="1:11" s="3" customFormat="1" ht="14.4" x14ac:dyDescent="0.3">
      <c r="B304" s="33">
        <v>18</v>
      </c>
      <c r="C304" s="31" t="s">
        <v>62</v>
      </c>
      <c r="D304" s="23">
        <v>0</v>
      </c>
      <c r="E304" s="23">
        <v>0</v>
      </c>
      <c r="F304" s="40">
        <f t="shared" si="35"/>
        <v>0</v>
      </c>
      <c r="G304" s="65">
        <f t="shared" si="36"/>
        <v>751426</v>
      </c>
      <c r="H304" s="62"/>
      <c r="I304" s="35"/>
      <c r="J304" s="35"/>
    </row>
    <row r="305" spans="2:12" s="3" customFormat="1" ht="14.4" x14ac:dyDescent="0.3">
      <c r="B305" s="33">
        <v>19</v>
      </c>
      <c r="C305" s="31" t="s">
        <v>63</v>
      </c>
      <c r="D305" s="23">
        <v>0</v>
      </c>
      <c r="E305" s="23">
        <v>0</v>
      </c>
      <c r="F305" s="40">
        <f t="shared" si="35"/>
        <v>0</v>
      </c>
      <c r="G305" s="65">
        <f t="shared" si="36"/>
        <v>751426</v>
      </c>
      <c r="H305" s="62"/>
      <c r="I305" s="35"/>
      <c r="J305" s="35"/>
    </row>
    <row r="306" spans="2:12" s="3" customFormat="1" ht="14.4" x14ac:dyDescent="0.3">
      <c r="B306" s="33">
        <v>20</v>
      </c>
      <c r="C306" s="31" t="s">
        <v>64</v>
      </c>
      <c r="D306" s="23">
        <v>0</v>
      </c>
      <c r="E306" s="23">
        <v>0</v>
      </c>
      <c r="F306" s="40">
        <f t="shared" si="35"/>
        <v>0</v>
      </c>
      <c r="G306" s="65">
        <f t="shared" si="36"/>
        <v>751426</v>
      </c>
      <c r="H306" s="62"/>
      <c r="I306" s="35"/>
      <c r="J306" s="35"/>
    </row>
    <row r="307" spans="2:12" s="3" customFormat="1" ht="14.4" x14ac:dyDescent="0.3">
      <c r="B307" s="33">
        <v>21</v>
      </c>
      <c r="C307" s="31" t="s">
        <v>65</v>
      </c>
      <c r="D307" s="23">
        <v>0</v>
      </c>
      <c r="E307" s="23">
        <v>0</v>
      </c>
      <c r="F307" s="40">
        <f t="shared" si="35"/>
        <v>0</v>
      </c>
      <c r="G307" s="65">
        <f t="shared" si="36"/>
        <v>751426</v>
      </c>
      <c r="H307" s="62"/>
      <c r="I307" s="35"/>
      <c r="J307" s="35"/>
    </row>
    <row r="308" spans="2:12" s="3" customFormat="1" ht="14.4" x14ac:dyDescent="0.3">
      <c r="B308" s="33">
        <v>22</v>
      </c>
      <c r="C308" s="31" t="s">
        <v>66</v>
      </c>
      <c r="D308" s="23">
        <v>0</v>
      </c>
      <c r="E308" s="23">
        <v>0</v>
      </c>
      <c r="F308" s="40">
        <f t="shared" si="35"/>
        <v>0</v>
      </c>
      <c r="G308" s="65">
        <f t="shared" si="36"/>
        <v>751426</v>
      </c>
      <c r="H308" s="62"/>
      <c r="I308" s="35"/>
      <c r="J308" s="35"/>
    </row>
    <row r="309" spans="2:12" s="3" customFormat="1" ht="14.4" x14ac:dyDescent="0.3">
      <c r="B309" s="33">
        <v>23</v>
      </c>
      <c r="C309" s="31" t="s">
        <v>67</v>
      </c>
      <c r="D309" s="23">
        <v>0</v>
      </c>
      <c r="E309" s="23">
        <v>0</v>
      </c>
      <c r="F309" s="40">
        <f t="shared" si="35"/>
        <v>0</v>
      </c>
      <c r="G309" s="65">
        <f t="shared" si="36"/>
        <v>751426</v>
      </c>
      <c r="H309" s="62"/>
      <c r="I309" s="35"/>
      <c r="J309" s="35"/>
    </row>
    <row r="310" spans="2:12" s="3" customFormat="1" ht="14.4" x14ac:dyDescent="0.3">
      <c r="B310" s="33">
        <v>24</v>
      </c>
      <c r="C310" s="31" t="s">
        <v>68</v>
      </c>
      <c r="D310" s="23">
        <v>0</v>
      </c>
      <c r="E310" s="23">
        <v>0</v>
      </c>
      <c r="F310" s="40">
        <f t="shared" si="35"/>
        <v>0</v>
      </c>
      <c r="G310" s="65">
        <f t="shared" si="36"/>
        <v>751426</v>
      </c>
      <c r="H310" s="62"/>
      <c r="I310" s="35"/>
      <c r="J310" s="35"/>
    </row>
    <row r="311" spans="2:12" s="3" customFormat="1" ht="14.4" x14ac:dyDescent="0.3">
      <c r="B311" s="33">
        <v>25</v>
      </c>
      <c r="C311" s="67" t="s">
        <v>69</v>
      </c>
      <c r="D311" s="23">
        <v>0</v>
      </c>
      <c r="E311" s="23">
        <v>0</v>
      </c>
      <c r="F311" s="40">
        <f t="shared" si="35"/>
        <v>0</v>
      </c>
      <c r="G311" s="65">
        <f t="shared" si="36"/>
        <v>751426</v>
      </c>
      <c r="H311" s="62"/>
      <c r="I311" s="35"/>
      <c r="J311" s="35"/>
    </row>
    <row r="312" spans="2:12" s="3" customFormat="1" ht="14.4" x14ac:dyDescent="0.3">
      <c r="B312" s="33">
        <v>26</v>
      </c>
      <c r="C312" s="67" t="s">
        <v>70</v>
      </c>
      <c r="D312" s="94">
        <v>0</v>
      </c>
      <c r="E312" s="95">
        <v>0</v>
      </c>
      <c r="F312" s="96">
        <f t="shared" si="35"/>
        <v>0</v>
      </c>
      <c r="G312" s="98">
        <f t="shared" si="36"/>
        <v>751426</v>
      </c>
      <c r="H312" s="62"/>
      <c r="I312" s="35"/>
      <c r="J312" s="35"/>
    </row>
    <row r="313" spans="2:12" s="3" customFormat="1" ht="14.4" x14ac:dyDescent="0.3">
      <c r="B313" s="33">
        <v>27</v>
      </c>
      <c r="C313" s="31" t="s">
        <v>79</v>
      </c>
      <c r="D313" s="18">
        <v>0</v>
      </c>
      <c r="E313" s="18">
        <v>0</v>
      </c>
      <c r="F313" s="36">
        <f t="shared" si="35"/>
        <v>0</v>
      </c>
      <c r="G313" s="84">
        <f t="shared" si="36"/>
        <v>751426</v>
      </c>
      <c r="H313" s="62"/>
      <c r="I313" s="35"/>
      <c r="J313" s="35"/>
    </row>
    <row r="314" spans="2:12" s="3" customFormat="1" ht="13.2" customHeight="1" x14ac:dyDescent="0.3">
      <c r="B314" s="33">
        <v>28</v>
      </c>
      <c r="C314" s="67" t="s">
        <v>80</v>
      </c>
      <c r="D314" s="23">
        <v>0</v>
      </c>
      <c r="E314" s="23">
        <v>-600909</v>
      </c>
      <c r="F314" s="40">
        <f t="shared" si="35"/>
        <v>-600909</v>
      </c>
      <c r="G314" s="65">
        <f t="shared" si="36"/>
        <v>150517</v>
      </c>
      <c r="H314" s="62"/>
      <c r="I314" s="35"/>
      <c r="J314" s="35"/>
    </row>
    <row r="315" spans="2:12" s="3" customFormat="1" ht="13.2" customHeight="1" x14ac:dyDescent="0.3">
      <c r="B315" s="33">
        <v>29</v>
      </c>
      <c r="C315" s="67" t="s">
        <v>81</v>
      </c>
      <c r="D315" s="23">
        <v>0</v>
      </c>
      <c r="E315" s="23">
        <v>0</v>
      </c>
      <c r="F315" s="40">
        <f t="shared" ref="F315:F319" si="37">+E315+D315</f>
        <v>0</v>
      </c>
      <c r="G315" s="65">
        <f t="shared" ref="G315:G318" si="38">+G314+F315</f>
        <v>150517</v>
      </c>
      <c r="H315" s="62"/>
      <c r="I315" s="35"/>
      <c r="J315" s="35"/>
    </row>
    <row r="316" spans="2:12" s="3" customFormat="1" ht="13.2" customHeight="1" x14ac:dyDescent="0.3">
      <c r="B316" s="33">
        <v>30</v>
      </c>
      <c r="C316" s="67" t="s">
        <v>82</v>
      </c>
      <c r="D316" s="23">
        <v>0</v>
      </c>
      <c r="E316" s="23">
        <v>0</v>
      </c>
      <c r="F316" s="40">
        <f t="shared" si="37"/>
        <v>0</v>
      </c>
      <c r="G316" s="65">
        <f t="shared" si="38"/>
        <v>150517</v>
      </c>
      <c r="H316" s="62"/>
      <c r="I316" s="35"/>
      <c r="J316" s="35"/>
    </row>
    <row r="317" spans="2:12" s="3" customFormat="1" ht="13.2" customHeight="1" x14ac:dyDescent="0.3">
      <c r="B317" s="33">
        <v>31</v>
      </c>
      <c r="C317" s="67" t="s">
        <v>83</v>
      </c>
      <c r="D317" s="23">
        <v>0</v>
      </c>
      <c r="E317" s="23">
        <v>0</v>
      </c>
      <c r="F317" s="40">
        <f t="shared" si="37"/>
        <v>0</v>
      </c>
      <c r="G317" s="65">
        <f t="shared" si="38"/>
        <v>150517</v>
      </c>
      <c r="H317" s="62"/>
      <c r="I317" s="35"/>
      <c r="J317" s="35"/>
    </row>
    <row r="318" spans="2:12" s="3" customFormat="1" ht="13.2" customHeight="1" x14ac:dyDescent="0.3">
      <c r="B318" s="33">
        <v>32</v>
      </c>
      <c r="C318" s="67" t="s">
        <v>84</v>
      </c>
      <c r="D318" s="23">
        <v>0</v>
      </c>
      <c r="E318" s="23">
        <v>0</v>
      </c>
      <c r="F318" s="40">
        <f t="shared" si="37"/>
        <v>0</v>
      </c>
      <c r="G318" s="65">
        <f t="shared" si="38"/>
        <v>150517</v>
      </c>
      <c r="H318" s="62"/>
      <c r="I318" s="35"/>
      <c r="J318" s="35"/>
    </row>
    <row r="319" spans="2:12" s="3" customFormat="1" ht="14.4" x14ac:dyDescent="0.3">
      <c r="B319" s="33">
        <v>33</v>
      </c>
      <c r="C319" s="67" t="s">
        <v>85</v>
      </c>
      <c r="D319" s="23">
        <v>0</v>
      </c>
      <c r="E319" s="23">
        <v>0</v>
      </c>
      <c r="F319" s="40">
        <f t="shared" si="37"/>
        <v>0</v>
      </c>
      <c r="G319" s="65">
        <f>+G318+F319</f>
        <v>150517</v>
      </c>
      <c r="H319" s="62"/>
      <c r="I319" s="35"/>
      <c r="J319" s="35"/>
    </row>
    <row r="320" spans="2:12" s="3" customFormat="1" ht="14.4" x14ac:dyDescent="0.3">
      <c r="B320" s="33">
        <v>34</v>
      </c>
      <c r="C320" s="67" t="s">
        <v>87</v>
      </c>
      <c r="D320" s="23">
        <v>0</v>
      </c>
      <c r="E320" s="23">
        <v>0</v>
      </c>
      <c r="F320" s="40">
        <v>0</v>
      </c>
      <c r="G320" s="23">
        <f>+G319+F320</f>
        <v>150517</v>
      </c>
      <c r="H320" s="62"/>
      <c r="I320" s="35"/>
      <c r="J320" s="10"/>
      <c r="K320" s="1"/>
      <c r="L320" s="32"/>
    </row>
    <row r="321" spans="1:12" s="3" customFormat="1" ht="14.4" x14ac:dyDescent="0.3">
      <c r="B321" s="33">
        <v>35</v>
      </c>
      <c r="C321" s="67" t="s">
        <v>86</v>
      </c>
      <c r="D321" s="23">
        <v>0</v>
      </c>
      <c r="E321" s="23">
        <v>0</v>
      </c>
      <c r="F321" s="40">
        <f>+E321+D321</f>
        <v>0</v>
      </c>
      <c r="G321" s="40">
        <f>+G320+F321</f>
        <v>150517</v>
      </c>
      <c r="H321" s="62"/>
      <c r="I321" s="35"/>
      <c r="J321" s="10"/>
      <c r="K321" s="1"/>
      <c r="L321" s="32"/>
    </row>
    <row r="322" spans="1:12" ht="14.4" x14ac:dyDescent="0.3">
      <c r="A322" s="3"/>
      <c r="B322" s="5" t="s">
        <v>45</v>
      </c>
      <c r="C322" s="68" t="s">
        <v>45</v>
      </c>
      <c r="D322" s="69" t="s">
        <v>45</v>
      </c>
      <c r="E322" s="69" t="s">
        <v>45</v>
      </c>
      <c r="F322" s="69" t="s">
        <v>45</v>
      </c>
      <c r="G322" s="69" t="s">
        <v>45</v>
      </c>
      <c r="H322" s="6" t="s">
        <v>45</v>
      </c>
      <c r="I322" s="3"/>
    </row>
    <row r="323" spans="1:12" ht="14.4" x14ac:dyDescent="0.3">
      <c r="A323" s="3"/>
      <c r="B323" s="8" t="s">
        <v>27</v>
      </c>
      <c r="C323" s="70"/>
      <c r="D323" s="69" t="s">
        <v>45</v>
      </c>
      <c r="E323" s="69" t="s">
        <v>45</v>
      </c>
      <c r="F323" s="69" t="s">
        <v>45</v>
      </c>
      <c r="G323" s="69" t="s">
        <v>45</v>
      </c>
      <c r="H323" s="6" t="s">
        <v>45</v>
      </c>
      <c r="I323" s="3"/>
    </row>
    <row r="324" spans="1:12" ht="14.4" x14ac:dyDescent="0.3">
      <c r="A324" s="3"/>
      <c r="B324" s="9" t="s">
        <v>28</v>
      </c>
      <c r="C324" s="5"/>
      <c r="D324" s="6"/>
      <c r="E324" s="6"/>
      <c r="F324" s="71"/>
      <c r="G324" s="71"/>
      <c r="H324" s="72"/>
      <c r="I324" s="3"/>
    </row>
    <row r="325" spans="1:12" ht="14.4" x14ac:dyDescent="0.3">
      <c r="A325" s="3"/>
      <c r="B325" s="9" t="s">
        <v>29</v>
      </c>
      <c r="C325" s="5"/>
      <c r="D325" s="6"/>
      <c r="E325" s="6"/>
      <c r="F325" s="71"/>
      <c r="G325" s="69" t="s">
        <v>45</v>
      </c>
      <c r="H325" s="6" t="s">
        <v>45</v>
      </c>
      <c r="I325" s="3"/>
    </row>
    <row r="326" spans="1:12" ht="14.4" x14ac:dyDescent="0.3">
      <c r="A326" s="3"/>
      <c r="B326" s="9" t="s">
        <v>30</v>
      </c>
      <c r="C326" s="5"/>
      <c r="D326" s="6"/>
      <c r="E326" s="6"/>
      <c r="F326" s="69" t="s">
        <v>45</v>
      </c>
      <c r="G326" s="69" t="s">
        <v>45</v>
      </c>
      <c r="H326" s="6" t="s">
        <v>45</v>
      </c>
      <c r="I326" s="3"/>
    </row>
    <row r="327" spans="1:12" ht="14.4" x14ac:dyDescent="0.3">
      <c r="A327" s="3"/>
      <c r="B327" s="3"/>
      <c r="C327" s="54"/>
      <c r="D327" s="55"/>
      <c r="E327" s="55"/>
      <c r="F327" s="55"/>
      <c r="G327" s="55"/>
      <c r="H327" s="32"/>
      <c r="I327" s="3"/>
    </row>
    <row r="328" spans="1:12" ht="14.4" x14ac:dyDescent="0.3">
      <c r="A328" s="3"/>
      <c r="B328" s="3"/>
      <c r="C328" s="54"/>
      <c r="D328" s="55"/>
      <c r="E328" s="55"/>
      <c r="F328" s="55"/>
      <c r="G328" s="55"/>
      <c r="H328" s="32"/>
      <c r="I328" s="3"/>
    </row>
    <row r="329" spans="1:12" ht="18" x14ac:dyDescent="0.35">
      <c r="A329" s="3"/>
      <c r="C329" s="73"/>
      <c r="D329" s="177" t="s">
        <v>34</v>
      </c>
      <c r="E329" s="177"/>
      <c r="F329" s="177"/>
      <c r="G329" s="177"/>
      <c r="H329" s="177"/>
      <c r="I329" s="3"/>
    </row>
    <row r="330" spans="1:12" ht="15.6" x14ac:dyDescent="0.3">
      <c r="A330" s="28"/>
      <c r="B330" s="24" t="s">
        <v>45</v>
      </c>
      <c r="C330" s="74" t="s">
        <v>45</v>
      </c>
      <c r="D330" s="178" t="s">
        <v>48</v>
      </c>
      <c r="E330" s="178"/>
      <c r="F330" s="178"/>
      <c r="G330" s="178"/>
      <c r="H330" s="178"/>
      <c r="I330" s="28"/>
    </row>
    <row r="331" spans="1:12" ht="15.9" customHeight="1" x14ac:dyDescent="0.3">
      <c r="A331" s="3"/>
      <c r="B331" s="132" t="s">
        <v>89</v>
      </c>
      <c r="C331" s="132"/>
      <c r="D331" s="132"/>
      <c r="E331" s="132"/>
      <c r="F331" s="132"/>
      <c r="G331" s="132"/>
      <c r="H331" s="132"/>
      <c r="I331" s="3"/>
    </row>
    <row r="332" spans="1:12" ht="14.4" x14ac:dyDescent="0.3">
      <c r="A332" s="3"/>
      <c r="B332" s="14"/>
      <c r="C332" s="15"/>
      <c r="D332" s="152" t="s">
        <v>6</v>
      </c>
      <c r="E332" s="152"/>
      <c r="F332" s="152"/>
      <c r="G332" s="152"/>
      <c r="H332" s="180" t="s">
        <v>45</v>
      </c>
      <c r="I332" s="3"/>
    </row>
    <row r="333" spans="1:12" ht="14.4" x14ac:dyDescent="0.3">
      <c r="A333" s="3"/>
      <c r="B333" s="12"/>
      <c r="C333" s="13"/>
      <c r="D333" s="155" t="s">
        <v>9</v>
      </c>
      <c r="E333" s="155"/>
      <c r="F333" s="155"/>
      <c r="G333" s="155"/>
      <c r="H333" s="180"/>
      <c r="I333" s="3"/>
    </row>
    <row r="334" spans="1:12" ht="14.4" x14ac:dyDescent="0.3">
      <c r="A334" s="3"/>
      <c r="B334" s="111" t="s">
        <v>10</v>
      </c>
      <c r="C334" s="113" t="s">
        <v>11</v>
      </c>
      <c r="D334" s="44" t="s">
        <v>12</v>
      </c>
      <c r="E334" s="44" t="s">
        <v>13</v>
      </c>
      <c r="F334" s="44" t="s">
        <v>14</v>
      </c>
      <c r="G334" s="57" t="s">
        <v>15</v>
      </c>
      <c r="H334" s="175" t="s">
        <v>45</v>
      </c>
      <c r="I334" s="3"/>
    </row>
    <row r="335" spans="1:12" ht="14.4" x14ac:dyDescent="0.3">
      <c r="A335" s="3"/>
      <c r="B335" s="111"/>
      <c r="C335" s="113"/>
      <c r="D335" s="165" t="s">
        <v>20</v>
      </c>
      <c r="E335" s="165"/>
      <c r="F335" s="165"/>
      <c r="G335" s="165"/>
      <c r="H335" s="175"/>
      <c r="I335" s="3"/>
    </row>
    <row r="336" spans="1:12" ht="14.4" x14ac:dyDescent="0.3">
      <c r="A336" s="3"/>
      <c r="B336" s="33">
        <v>4</v>
      </c>
      <c r="C336" s="58" t="s">
        <v>21</v>
      </c>
      <c r="D336" s="23">
        <v>0</v>
      </c>
      <c r="E336" s="23">
        <v>0</v>
      </c>
      <c r="F336" s="40">
        <v>0</v>
      </c>
      <c r="G336" s="23">
        <v>0</v>
      </c>
      <c r="H336" s="62" t="s">
        <v>45</v>
      </c>
      <c r="I336" s="3"/>
    </row>
    <row r="337" spans="1:11" ht="14.4" x14ac:dyDescent="0.3">
      <c r="A337" s="3"/>
      <c r="B337" s="63">
        <v>5</v>
      </c>
      <c r="C337" s="64" t="s">
        <v>22</v>
      </c>
      <c r="D337" s="23">
        <v>0</v>
      </c>
      <c r="E337" s="23">
        <v>0</v>
      </c>
      <c r="F337" s="40">
        <v>0</v>
      </c>
      <c r="G337" s="23">
        <v>0</v>
      </c>
      <c r="H337" s="62" t="s">
        <v>45</v>
      </c>
      <c r="I337" s="3"/>
    </row>
    <row r="338" spans="1:11" ht="14.4" x14ac:dyDescent="0.3">
      <c r="A338" s="3"/>
      <c r="B338" s="63">
        <v>6</v>
      </c>
      <c r="C338" s="64" t="s">
        <v>23</v>
      </c>
      <c r="D338" s="23">
        <v>0</v>
      </c>
      <c r="E338" s="23">
        <v>0</v>
      </c>
      <c r="F338" s="40">
        <v>0</v>
      </c>
      <c r="G338" s="23">
        <v>0</v>
      </c>
      <c r="H338" s="62" t="s">
        <v>45</v>
      </c>
      <c r="I338" s="3"/>
    </row>
    <row r="339" spans="1:11" ht="14.4" x14ac:dyDescent="0.3">
      <c r="A339" s="3"/>
      <c r="B339" s="63">
        <v>7</v>
      </c>
      <c r="C339" s="64" t="s">
        <v>24</v>
      </c>
      <c r="D339" s="23">
        <v>0</v>
      </c>
      <c r="E339" s="23">
        <v>0</v>
      </c>
      <c r="F339" s="40">
        <v>0</v>
      </c>
      <c r="G339" s="23">
        <v>0</v>
      </c>
      <c r="H339" s="62" t="s">
        <v>45</v>
      </c>
      <c r="I339" s="3"/>
    </row>
    <row r="340" spans="1:11" ht="14.4" x14ac:dyDescent="0.3">
      <c r="A340" s="3"/>
      <c r="B340" s="33">
        <v>8</v>
      </c>
      <c r="C340" s="31" t="s">
        <v>25</v>
      </c>
      <c r="D340" s="23">
        <v>0</v>
      </c>
      <c r="E340" s="23">
        <v>0</v>
      </c>
      <c r="F340" s="40">
        <f t="shared" ref="F340:F360" si="39">+E340+D340</f>
        <v>0</v>
      </c>
      <c r="G340" s="65">
        <f t="shared" ref="G340:G360" si="40">+G339+F340</f>
        <v>0</v>
      </c>
      <c r="H340" s="62"/>
      <c r="I340" s="10"/>
      <c r="J340" s="3"/>
      <c r="K340" s="3"/>
    </row>
    <row r="341" spans="1:11" s="3" customFormat="1" ht="14.4" x14ac:dyDescent="0.3">
      <c r="B341" s="33">
        <v>9</v>
      </c>
      <c r="C341" s="31" t="s">
        <v>26</v>
      </c>
      <c r="D341" s="23">
        <v>0</v>
      </c>
      <c r="E341" s="23">
        <v>0</v>
      </c>
      <c r="F341" s="40">
        <f t="shared" si="39"/>
        <v>0</v>
      </c>
      <c r="G341" s="65">
        <f t="shared" si="40"/>
        <v>0</v>
      </c>
      <c r="H341" s="62"/>
      <c r="I341" s="35"/>
      <c r="J341" s="35"/>
    </row>
    <row r="342" spans="1:11" s="3" customFormat="1" ht="14.4" x14ac:dyDescent="0.3">
      <c r="B342" s="33">
        <v>10</v>
      </c>
      <c r="C342" s="31" t="s">
        <v>55</v>
      </c>
      <c r="D342" s="23">
        <v>0</v>
      </c>
      <c r="E342" s="23">
        <v>0</v>
      </c>
      <c r="F342" s="40">
        <f t="shared" si="39"/>
        <v>0</v>
      </c>
      <c r="G342" s="65">
        <f t="shared" si="40"/>
        <v>0</v>
      </c>
      <c r="H342" s="62"/>
      <c r="I342" s="35"/>
      <c r="J342" s="35"/>
    </row>
    <row r="343" spans="1:11" s="3" customFormat="1" ht="14.4" x14ac:dyDescent="0.3">
      <c r="B343" s="33">
        <v>11</v>
      </c>
      <c r="C343" s="31" t="s">
        <v>56</v>
      </c>
      <c r="D343" s="23">
        <v>0</v>
      </c>
      <c r="E343" s="23">
        <v>0</v>
      </c>
      <c r="F343" s="40">
        <f t="shared" si="39"/>
        <v>0</v>
      </c>
      <c r="G343" s="65">
        <f>+G342+F343</f>
        <v>0</v>
      </c>
      <c r="H343" s="62"/>
      <c r="I343" s="35"/>
      <c r="J343" s="35"/>
    </row>
    <row r="344" spans="1:11" s="3" customFormat="1" ht="14.4" x14ac:dyDescent="0.3">
      <c r="B344" s="33">
        <v>12</v>
      </c>
      <c r="C344" s="31" t="s">
        <v>71</v>
      </c>
      <c r="D344" s="23">
        <v>0</v>
      </c>
      <c r="E344" s="23">
        <v>0</v>
      </c>
      <c r="F344" s="40">
        <f t="shared" si="39"/>
        <v>0</v>
      </c>
      <c r="G344" s="65">
        <f t="shared" si="40"/>
        <v>0</v>
      </c>
      <c r="H344" s="62"/>
      <c r="I344" s="35"/>
      <c r="J344" s="35"/>
    </row>
    <row r="345" spans="1:11" s="3" customFormat="1" ht="14.4" x14ac:dyDescent="0.3">
      <c r="B345" s="33">
        <v>13</v>
      </c>
      <c r="C345" s="31" t="s">
        <v>57</v>
      </c>
      <c r="D345" s="23">
        <v>0</v>
      </c>
      <c r="E345" s="23">
        <v>0</v>
      </c>
      <c r="F345" s="40">
        <f t="shared" si="39"/>
        <v>0</v>
      </c>
      <c r="G345" s="65">
        <f t="shared" si="40"/>
        <v>0</v>
      </c>
      <c r="H345" s="62"/>
      <c r="I345" s="35"/>
      <c r="J345" s="35"/>
    </row>
    <row r="346" spans="1:11" s="3" customFormat="1" ht="15.6" customHeight="1" x14ac:dyDescent="0.3">
      <c r="B346" s="33">
        <v>14</v>
      </c>
      <c r="C346" s="49" t="s">
        <v>58</v>
      </c>
      <c r="D346" s="23">
        <v>0</v>
      </c>
      <c r="E346" s="23">
        <v>0</v>
      </c>
      <c r="F346" s="40">
        <f t="shared" si="39"/>
        <v>0</v>
      </c>
      <c r="G346" s="65">
        <f t="shared" si="40"/>
        <v>0</v>
      </c>
      <c r="H346" s="62"/>
      <c r="I346" s="35"/>
      <c r="J346" s="35"/>
    </row>
    <row r="347" spans="1:11" s="3" customFormat="1" ht="14.4" x14ac:dyDescent="0.3">
      <c r="B347" s="33">
        <v>15</v>
      </c>
      <c r="C347" s="31" t="s">
        <v>59</v>
      </c>
      <c r="D347" s="23">
        <v>0</v>
      </c>
      <c r="E347" s="23">
        <v>0</v>
      </c>
      <c r="F347" s="40">
        <f t="shared" si="39"/>
        <v>0</v>
      </c>
      <c r="G347" s="65">
        <f t="shared" si="40"/>
        <v>0</v>
      </c>
      <c r="H347" s="62"/>
      <c r="I347" s="35"/>
      <c r="J347" s="35"/>
    </row>
    <row r="348" spans="1:11" s="3" customFormat="1" ht="14.4" x14ac:dyDescent="0.3">
      <c r="B348" s="33">
        <v>16</v>
      </c>
      <c r="C348" s="31" t="s">
        <v>60</v>
      </c>
      <c r="D348" s="23">
        <v>0</v>
      </c>
      <c r="E348" s="23">
        <v>0</v>
      </c>
      <c r="F348" s="40">
        <f t="shared" si="39"/>
        <v>0</v>
      </c>
      <c r="G348" s="65">
        <f t="shared" si="40"/>
        <v>0</v>
      </c>
      <c r="H348" s="62"/>
      <c r="I348" s="35"/>
      <c r="J348" s="35"/>
    </row>
    <row r="349" spans="1:11" s="3" customFormat="1" ht="14.4" x14ac:dyDescent="0.3">
      <c r="B349" s="33">
        <v>17</v>
      </c>
      <c r="C349" s="31" t="s">
        <v>61</v>
      </c>
      <c r="D349" s="23">
        <v>0</v>
      </c>
      <c r="E349" s="23">
        <v>0</v>
      </c>
      <c r="F349" s="40">
        <f t="shared" si="39"/>
        <v>0</v>
      </c>
      <c r="G349" s="65">
        <f t="shared" si="40"/>
        <v>0</v>
      </c>
      <c r="H349" s="62"/>
      <c r="I349" s="35"/>
      <c r="J349" s="35"/>
    </row>
    <row r="350" spans="1:11" s="3" customFormat="1" ht="14.4" x14ac:dyDescent="0.3">
      <c r="B350" s="33">
        <v>18</v>
      </c>
      <c r="C350" s="31" t="s">
        <v>62</v>
      </c>
      <c r="D350" s="23">
        <v>0</v>
      </c>
      <c r="E350" s="23">
        <v>0</v>
      </c>
      <c r="F350" s="40">
        <f t="shared" si="39"/>
        <v>0</v>
      </c>
      <c r="G350" s="65">
        <f t="shared" si="40"/>
        <v>0</v>
      </c>
      <c r="H350" s="62"/>
      <c r="I350" s="35"/>
      <c r="J350" s="35"/>
    </row>
    <row r="351" spans="1:11" s="3" customFormat="1" ht="14.4" x14ac:dyDescent="0.3">
      <c r="B351" s="33">
        <v>19</v>
      </c>
      <c r="C351" s="31" t="s">
        <v>63</v>
      </c>
      <c r="D351" s="23">
        <v>0</v>
      </c>
      <c r="E351" s="23">
        <v>0</v>
      </c>
      <c r="F351" s="40">
        <f t="shared" si="39"/>
        <v>0</v>
      </c>
      <c r="G351" s="65">
        <f t="shared" si="40"/>
        <v>0</v>
      </c>
      <c r="H351" s="62"/>
      <c r="I351" s="35"/>
      <c r="J351" s="35"/>
    </row>
    <row r="352" spans="1:11" s="3" customFormat="1" ht="14.4" x14ac:dyDescent="0.3">
      <c r="B352" s="33">
        <v>20</v>
      </c>
      <c r="C352" s="31" t="s">
        <v>64</v>
      </c>
      <c r="D352" s="23">
        <v>0</v>
      </c>
      <c r="E352" s="23">
        <v>0</v>
      </c>
      <c r="F352" s="40">
        <f t="shared" si="39"/>
        <v>0</v>
      </c>
      <c r="G352" s="65">
        <f t="shared" si="40"/>
        <v>0</v>
      </c>
      <c r="H352" s="62"/>
      <c r="I352" s="35"/>
      <c r="J352" s="35"/>
    </row>
    <row r="353" spans="2:12" s="3" customFormat="1" ht="14.4" x14ac:dyDescent="0.3">
      <c r="B353" s="33">
        <v>21</v>
      </c>
      <c r="C353" s="31" t="s">
        <v>65</v>
      </c>
      <c r="D353" s="23">
        <v>0</v>
      </c>
      <c r="E353" s="23">
        <v>0</v>
      </c>
      <c r="F353" s="40">
        <f t="shared" si="39"/>
        <v>0</v>
      </c>
      <c r="G353" s="65">
        <f t="shared" si="40"/>
        <v>0</v>
      </c>
      <c r="H353" s="62"/>
      <c r="I353" s="35"/>
      <c r="J353" s="35"/>
    </row>
    <row r="354" spans="2:12" s="3" customFormat="1" ht="14.4" x14ac:dyDescent="0.3">
      <c r="B354" s="33">
        <v>22</v>
      </c>
      <c r="C354" s="31" t="s">
        <v>66</v>
      </c>
      <c r="D354" s="23">
        <v>0</v>
      </c>
      <c r="E354" s="23">
        <v>0</v>
      </c>
      <c r="F354" s="40">
        <f t="shared" si="39"/>
        <v>0</v>
      </c>
      <c r="G354" s="65">
        <f t="shared" si="40"/>
        <v>0</v>
      </c>
      <c r="H354" s="62"/>
      <c r="I354" s="35"/>
      <c r="J354" s="35"/>
    </row>
    <row r="355" spans="2:12" s="3" customFormat="1" ht="14.4" x14ac:dyDescent="0.3">
      <c r="B355" s="33">
        <v>23</v>
      </c>
      <c r="C355" s="31" t="s">
        <v>67</v>
      </c>
      <c r="D355" s="23">
        <v>0</v>
      </c>
      <c r="E355" s="23">
        <v>0</v>
      </c>
      <c r="F355" s="40">
        <f t="shared" si="39"/>
        <v>0</v>
      </c>
      <c r="G355" s="65">
        <f t="shared" si="40"/>
        <v>0</v>
      </c>
      <c r="H355" s="62"/>
      <c r="I355" s="35"/>
      <c r="J355" s="35"/>
    </row>
    <row r="356" spans="2:12" s="3" customFormat="1" ht="14.4" x14ac:dyDescent="0.3">
      <c r="B356" s="33">
        <v>24</v>
      </c>
      <c r="C356" s="31" t="s">
        <v>68</v>
      </c>
      <c r="D356" s="23">
        <v>0</v>
      </c>
      <c r="E356" s="23">
        <v>0</v>
      </c>
      <c r="F356" s="40">
        <f t="shared" si="39"/>
        <v>0</v>
      </c>
      <c r="G356" s="65">
        <f t="shared" si="40"/>
        <v>0</v>
      </c>
      <c r="H356" s="62"/>
      <c r="I356" s="35"/>
      <c r="J356" s="35"/>
    </row>
    <row r="357" spans="2:12" s="3" customFormat="1" ht="14.4" x14ac:dyDescent="0.3">
      <c r="B357" s="33">
        <v>25</v>
      </c>
      <c r="C357" s="67" t="s">
        <v>69</v>
      </c>
      <c r="D357" s="23">
        <v>0</v>
      </c>
      <c r="E357" s="23">
        <v>0</v>
      </c>
      <c r="F357" s="40">
        <f t="shared" si="39"/>
        <v>0</v>
      </c>
      <c r="G357" s="65">
        <f t="shared" si="40"/>
        <v>0</v>
      </c>
      <c r="H357" s="62"/>
      <c r="I357" s="35"/>
      <c r="J357" s="35"/>
    </row>
    <row r="358" spans="2:12" s="3" customFormat="1" ht="14.4" x14ac:dyDescent="0.3">
      <c r="B358" s="33">
        <v>26</v>
      </c>
      <c r="C358" s="67" t="s">
        <v>70</v>
      </c>
      <c r="D358" s="94">
        <v>0</v>
      </c>
      <c r="E358" s="95">
        <v>0</v>
      </c>
      <c r="F358" s="96">
        <f t="shared" si="39"/>
        <v>0</v>
      </c>
      <c r="G358" s="98">
        <f t="shared" si="40"/>
        <v>0</v>
      </c>
      <c r="H358" s="62"/>
      <c r="I358" s="35"/>
      <c r="J358" s="35"/>
    </row>
    <row r="359" spans="2:12" s="3" customFormat="1" ht="14.4" x14ac:dyDescent="0.3">
      <c r="B359" s="33">
        <v>27</v>
      </c>
      <c r="C359" s="31" t="s">
        <v>79</v>
      </c>
      <c r="D359" s="18">
        <v>0</v>
      </c>
      <c r="E359" s="18">
        <v>0</v>
      </c>
      <c r="F359" s="36">
        <f t="shared" si="39"/>
        <v>0</v>
      </c>
      <c r="G359" s="84">
        <f t="shared" si="40"/>
        <v>0</v>
      </c>
      <c r="H359" s="62"/>
      <c r="I359" s="35"/>
      <c r="J359" s="35"/>
    </row>
    <row r="360" spans="2:12" s="3" customFormat="1" ht="13.2" customHeight="1" x14ac:dyDescent="0.3">
      <c r="B360" s="33">
        <v>28</v>
      </c>
      <c r="C360" s="67" t="s">
        <v>80</v>
      </c>
      <c r="D360" s="23">
        <v>0</v>
      </c>
      <c r="E360" s="23">
        <v>0</v>
      </c>
      <c r="F360" s="40">
        <f t="shared" si="39"/>
        <v>0</v>
      </c>
      <c r="G360" s="65">
        <f t="shared" si="40"/>
        <v>0</v>
      </c>
      <c r="H360" s="62"/>
      <c r="I360" s="35"/>
      <c r="J360" s="35"/>
    </row>
    <row r="361" spans="2:12" s="3" customFormat="1" ht="13.2" customHeight="1" x14ac:dyDescent="0.3">
      <c r="B361" s="33">
        <v>29</v>
      </c>
      <c r="C361" s="67" t="s">
        <v>81</v>
      </c>
      <c r="D361" s="23">
        <v>0</v>
      </c>
      <c r="E361" s="23">
        <v>0</v>
      </c>
      <c r="F361" s="40">
        <f t="shared" ref="F361:F365" si="41">+E361+D361</f>
        <v>0</v>
      </c>
      <c r="G361" s="65">
        <f t="shared" ref="G361:G364" si="42">+G360+F361</f>
        <v>0</v>
      </c>
      <c r="H361" s="62"/>
      <c r="I361" s="35"/>
      <c r="J361" s="35"/>
    </row>
    <row r="362" spans="2:12" s="3" customFormat="1" ht="13.2" customHeight="1" x14ac:dyDescent="0.3">
      <c r="B362" s="33">
        <v>30</v>
      </c>
      <c r="C362" s="67" t="s">
        <v>82</v>
      </c>
      <c r="D362" s="23">
        <v>0</v>
      </c>
      <c r="E362" s="23">
        <v>0</v>
      </c>
      <c r="F362" s="40">
        <f t="shared" si="41"/>
        <v>0</v>
      </c>
      <c r="G362" s="65">
        <f t="shared" si="42"/>
        <v>0</v>
      </c>
      <c r="H362" s="62"/>
      <c r="I362" s="35"/>
      <c r="J362" s="35"/>
    </row>
    <row r="363" spans="2:12" s="3" customFormat="1" ht="13.2" customHeight="1" x14ac:dyDescent="0.3">
      <c r="B363" s="33">
        <v>31</v>
      </c>
      <c r="C363" s="67" t="s">
        <v>83</v>
      </c>
      <c r="D363" s="23">
        <v>0</v>
      </c>
      <c r="E363" s="23">
        <v>0</v>
      </c>
      <c r="F363" s="40">
        <f t="shared" si="41"/>
        <v>0</v>
      </c>
      <c r="G363" s="65">
        <f t="shared" si="42"/>
        <v>0</v>
      </c>
      <c r="H363" s="62"/>
      <c r="I363" s="35"/>
      <c r="J363" s="35"/>
    </row>
    <row r="364" spans="2:12" s="3" customFormat="1" ht="13.2" customHeight="1" x14ac:dyDescent="0.3">
      <c r="B364" s="33">
        <v>32</v>
      </c>
      <c r="C364" s="67" t="s">
        <v>84</v>
      </c>
      <c r="D364" s="23">
        <v>0</v>
      </c>
      <c r="E364" s="23">
        <v>0</v>
      </c>
      <c r="F364" s="40">
        <f t="shared" si="41"/>
        <v>0</v>
      </c>
      <c r="G364" s="65">
        <f t="shared" si="42"/>
        <v>0</v>
      </c>
      <c r="H364" s="62"/>
      <c r="I364" s="35"/>
      <c r="J364" s="35"/>
    </row>
    <row r="365" spans="2:12" s="3" customFormat="1" ht="14.4" x14ac:dyDescent="0.3">
      <c r="B365" s="33">
        <v>33</v>
      </c>
      <c r="C365" s="67" t="s">
        <v>85</v>
      </c>
      <c r="D365" s="23">
        <v>0</v>
      </c>
      <c r="E365" s="23">
        <v>0</v>
      </c>
      <c r="F365" s="40">
        <f t="shared" si="41"/>
        <v>0</v>
      </c>
      <c r="G365" s="65">
        <f>+G364+F365</f>
        <v>0</v>
      </c>
      <c r="H365" s="62"/>
      <c r="I365" s="35"/>
      <c r="J365" s="35"/>
    </row>
    <row r="366" spans="2:12" s="3" customFormat="1" ht="14.4" x14ac:dyDescent="0.3">
      <c r="B366" s="33">
        <v>34</v>
      </c>
      <c r="C366" s="67" t="s">
        <v>87</v>
      </c>
      <c r="D366" s="23">
        <v>0</v>
      </c>
      <c r="E366" s="23">
        <v>0</v>
      </c>
      <c r="F366" s="40">
        <v>0</v>
      </c>
      <c r="G366" s="23">
        <f>+G365+F366</f>
        <v>0</v>
      </c>
      <c r="H366" s="62"/>
      <c r="I366" s="35"/>
      <c r="J366" s="10"/>
      <c r="K366" s="1"/>
      <c r="L366" s="32"/>
    </row>
    <row r="367" spans="2:12" s="3" customFormat="1" ht="14.4" x14ac:dyDescent="0.3">
      <c r="B367" s="33">
        <v>35</v>
      </c>
      <c r="C367" s="67" t="s">
        <v>86</v>
      </c>
      <c r="D367" s="23">
        <v>0</v>
      </c>
      <c r="E367" s="23">
        <v>0</v>
      </c>
      <c r="F367" s="40">
        <f>+E367+D367</f>
        <v>0</v>
      </c>
      <c r="G367" s="40">
        <f>+G366+F367</f>
        <v>0</v>
      </c>
      <c r="H367" s="62"/>
      <c r="I367" s="35"/>
      <c r="J367" s="10"/>
      <c r="K367" s="1"/>
      <c r="L367" s="32"/>
    </row>
    <row r="368" spans="2:12" s="3" customFormat="1" ht="13.2" customHeight="1" x14ac:dyDescent="0.3">
      <c r="B368" s="76"/>
      <c r="C368" s="77"/>
      <c r="D368" s="35"/>
      <c r="E368" s="35"/>
      <c r="F368" s="47"/>
      <c r="G368" s="47"/>
      <c r="H368" s="62"/>
      <c r="I368" s="35"/>
      <c r="J368" s="35"/>
    </row>
    <row r="369" spans="1:9" ht="14.4" x14ac:dyDescent="0.3">
      <c r="A369" s="3"/>
      <c r="B369" s="8" t="s">
        <v>27</v>
      </c>
      <c r="C369" s="70"/>
      <c r="D369" s="69" t="s">
        <v>45</v>
      </c>
      <c r="E369" s="69" t="s">
        <v>45</v>
      </c>
      <c r="F369" s="69" t="s">
        <v>45</v>
      </c>
      <c r="G369" s="69" t="s">
        <v>45</v>
      </c>
      <c r="H369" s="6" t="s">
        <v>45</v>
      </c>
      <c r="I369" s="3"/>
    </row>
    <row r="370" spans="1:9" ht="14.4" x14ac:dyDescent="0.3">
      <c r="A370" s="3"/>
      <c r="B370" s="9" t="s">
        <v>28</v>
      </c>
      <c r="C370" s="5"/>
      <c r="D370" s="6"/>
      <c r="E370" s="6"/>
      <c r="F370" s="71"/>
      <c r="G370" s="71"/>
      <c r="H370" s="72"/>
      <c r="I370" s="3"/>
    </row>
    <row r="371" spans="1:9" ht="14.4" x14ac:dyDescent="0.3">
      <c r="A371" s="3"/>
      <c r="B371" s="9" t="s">
        <v>29</v>
      </c>
      <c r="C371" s="5"/>
      <c r="D371" s="6"/>
      <c r="E371" s="6"/>
      <c r="F371" s="71"/>
      <c r="G371" s="69" t="s">
        <v>45</v>
      </c>
      <c r="H371" s="6" t="s">
        <v>45</v>
      </c>
      <c r="I371" s="3"/>
    </row>
    <row r="372" spans="1:9" ht="14.4" x14ac:dyDescent="0.3">
      <c r="A372" s="3"/>
      <c r="B372" s="9" t="s">
        <v>30</v>
      </c>
      <c r="C372" s="5"/>
      <c r="D372" s="6"/>
      <c r="E372" s="6"/>
      <c r="F372" s="69" t="s">
        <v>45</v>
      </c>
      <c r="G372" s="69" t="s">
        <v>45</v>
      </c>
      <c r="H372" s="6" t="s">
        <v>45</v>
      </c>
      <c r="I372" s="3"/>
    </row>
    <row r="373" spans="1:9" ht="14.4" x14ac:dyDescent="0.3">
      <c r="A373" s="3"/>
      <c r="B373" s="9" t="s">
        <v>45</v>
      </c>
      <c r="C373" s="68" t="s">
        <v>45</v>
      </c>
      <c r="D373" s="69" t="s">
        <v>45</v>
      </c>
      <c r="E373" s="69" t="s">
        <v>45</v>
      </c>
      <c r="F373" s="69" t="s">
        <v>45</v>
      </c>
      <c r="G373" s="69" t="s">
        <v>45</v>
      </c>
      <c r="H373" s="6" t="s">
        <v>45</v>
      </c>
      <c r="I373" s="3"/>
    </row>
    <row r="374" spans="1:9" ht="14.4" x14ac:dyDescent="0.3">
      <c r="A374" s="3"/>
      <c r="B374" s="50" t="s">
        <v>49</v>
      </c>
      <c r="C374" s="51"/>
      <c r="D374" s="52"/>
      <c r="E374" s="52"/>
      <c r="F374" s="52"/>
      <c r="G374" s="52"/>
      <c r="H374" s="53"/>
      <c r="I374" s="3"/>
    </row>
    <row r="375" spans="1:9" ht="14.4" x14ac:dyDescent="0.3">
      <c r="A375" s="3"/>
      <c r="B375" s="50" t="s">
        <v>44</v>
      </c>
      <c r="C375" s="51"/>
      <c r="D375" s="52"/>
      <c r="E375" s="52" t="s">
        <v>45</v>
      </c>
      <c r="F375" s="52" t="s">
        <v>45</v>
      </c>
      <c r="G375" s="52" t="s">
        <v>45</v>
      </c>
      <c r="H375" s="53" t="s">
        <v>45</v>
      </c>
      <c r="I375" s="3"/>
    </row>
    <row r="376" spans="1:9" ht="14.4" x14ac:dyDescent="0.3">
      <c r="A376" s="3"/>
      <c r="B376" s="3"/>
      <c r="C376" s="54"/>
      <c r="D376" s="55"/>
      <c r="E376" s="55"/>
      <c r="F376" s="55"/>
      <c r="G376" s="55"/>
      <c r="H376" s="32"/>
      <c r="I376" s="3"/>
    </row>
    <row r="377" spans="1:9" ht="14.4" x14ac:dyDescent="0.3">
      <c r="A377" s="3"/>
      <c r="B377" s="3"/>
      <c r="C377" s="54"/>
      <c r="D377" s="55"/>
      <c r="E377" s="55"/>
      <c r="F377" s="55"/>
      <c r="G377" s="55"/>
      <c r="H377" s="32"/>
      <c r="I377" s="3"/>
    </row>
    <row r="378" spans="1:9" ht="16.5" customHeight="1" x14ac:dyDescent="0.35">
      <c r="A378" s="25"/>
      <c r="B378" s="26" t="s">
        <v>45</v>
      </c>
      <c r="C378" s="56" t="s">
        <v>45</v>
      </c>
      <c r="D378" s="186" t="s">
        <v>50</v>
      </c>
      <c r="E378" s="186"/>
      <c r="F378" s="186"/>
      <c r="G378" s="186"/>
      <c r="H378" s="186"/>
      <c r="I378" s="2" t="s">
        <v>0</v>
      </c>
    </row>
    <row r="379" spans="1:9" ht="15.9" customHeight="1" x14ac:dyDescent="0.3">
      <c r="A379" s="3"/>
      <c r="B379" s="132" t="s">
        <v>89</v>
      </c>
      <c r="C379" s="132"/>
      <c r="D379" s="132"/>
      <c r="E379" s="132"/>
      <c r="F379" s="132"/>
      <c r="G379" s="132"/>
      <c r="H379" s="132"/>
      <c r="I379" s="2" t="s">
        <v>1</v>
      </c>
    </row>
    <row r="380" spans="1:9" ht="14.4" x14ac:dyDescent="0.3">
      <c r="A380" s="3"/>
      <c r="B380" s="14"/>
      <c r="C380" s="15"/>
      <c r="D380" s="152" t="s">
        <v>6</v>
      </c>
      <c r="E380" s="152"/>
      <c r="F380" s="152"/>
      <c r="G380" s="152"/>
      <c r="H380" s="180" t="s">
        <v>45</v>
      </c>
      <c r="I380" s="2" t="s">
        <v>2</v>
      </c>
    </row>
    <row r="381" spans="1:9" ht="14.4" x14ac:dyDescent="0.3">
      <c r="A381" s="3"/>
      <c r="B381" s="12"/>
      <c r="C381" s="13"/>
      <c r="D381" s="155" t="s">
        <v>9</v>
      </c>
      <c r="E381" s="155"/>
      <c r="F381" s="155"/>
      <c r="G381" s="155"/>
      <c r="H381" s="180"/>
      <c r="I381" s="2" t="s">
        <v>3</v>
      </c>
    </row>
    <row r="382" spans="1:9" ht="14.4" x14ac:dyDescent="0.3">
      <c r="A382" s="3"/>
      <c r="B382" s="111" t="s">
        <v>10</v>
      </c>
      <c r="C382" s="113" t="s">
        <v>11</v>
      </c>
      <c r="D382" s="44" t="s">
        <v>12</v>
      </c>
      <c r="E382" s="44" t="s">
        <v>13</v>
      </c>
      <c r="F382" s="44" t="s">
        <v>14</v>
      </c>
      <c r="G382" s="57" t="s">
        <v>15</v>
      </c>
      <c r="H382" s="175" t="s">
        <v>45</v>
      </c>
      <c r="I382" s="2" t="s">
        <v>4</v>
      </c>
    </row>
    <row r="383" spans="1:9" ht="14.4" x14ac:dyDescent="0.3">
      <c r="A383" s="3"/>
      <c r="B383" s="111"/>
      <c r="C383" s="113"/>
      <c r="D383" s="165" t="s">
        <v>20</v>
      </c>
      <c r="E383" s="165"/>
      <c r="F383" s="165"/>
      <c r="G383" s="165"/>
      <c r="H383" s="175"/>
      <c r="I383" s="3"/>
    </row>
    <row r="384" spans="1:9" ht="14.4" x14ac:dyDescent="0.3">
      <c r="A384" s="3"/>
      <c r="B384" s="33">
        <v>4</v>
      </c>
      <c r="C384" s="58" t="s">
        <v>21</v>
      </c>
      <c r="D384" s="59">
        <v>76057.22</v>
      </c>
      <c r="E384" s="23">
        <v>0</v>
      </c>
      <c r="F384" s="60">
        <f>+E384+D384</f>
        <v>76057.22</v>
      </c>
      <c r="G384" s="61">
        <f>+F384</f>
        <v>76057.22</v>
      </c>
      <c r="H384" s="62" t="s">
        <v>45</v>
      </c>
      <c r="I384" s="3"/>
    </row>
    <row r="385" spans="1:11" ht="14.4" x14ac:dyDescent="0.3">
      <c r="A385" s="3"/>
      <c r="B385" s="63">
        <v>5</v>
      </c>
      <c r="C385" s="64" t="s">
        <v>22</v>
      </c>
      <c r="D385" s="59">
        <v>250508.2</v>
      </c>
      <c r="E385" s="23">
        <v>0</v>
      </c>
      <c r="F385" s="60">
        <f>+E385+D385</f>
        <v>250508.2</v>
      </c>
      <c r="G385" s="61">
        <f>+G384+F385</f>
        <v>326565.42000000004</v>
      </c>
      <c r="H385" s="62" t="s">
        <v>45</v>
      </c>
      <c r="I385" s="3"/>
    </row>
    <row r="386" spans="1:11" ht="14.4" x14ac:dyDescent="0.3">
      <c r="A386" s="3"/>
      <c r="B386" s="63">
        <v>6</v>
      </c>
      <c r="C386" s="64" t="s">
        <v>23</v>
      </c>
      <c r="D386" s="59">
        <v>106013.4</v>
      </c>
      <c r="E386" s="23">
        <v>0</v>
      </c>
      <c r="F386" s="60">
        <f>+E386+D386</f>
        <v>106013.4</v>
      </c>
      <c r="G386" s="61">
        <f>+G385+F386</f>
        <v>432578.82000000007</v>
      </c>
      <c r="H386" s="62" t="s">
        <v>45</v>
      </c>
      <c r="I386" s="3"/>
    </row>
    <row r="387" spans="1:11" ht="14.4" x14ac:dyDescent="0.3">
      <c r="A387" s="3"/>
      <c r="B387" s="63">
        <v>7</v>
      </c>
      <c r="C387" s="64" t="s">
        <v>24</v>
      </c>
      <c r="D387" s="59">
        <v>133685.13</v>
      </c>
      <c r="E387" s="23">
        <f>185390.63-133685.13</f>
        <v>51705.5</v>
      </c>
      <c r="F387" s="60">
        <f>+E387+D387</f>
        <v>185390.63</v>
      </c>
      <c r="G387" s="61">
        <f>+G386+F387</f>
        <v>617969.45000000007</v>
      </c>
      <c r="H387" s="62" t="s">
        <v>45</v>
      </c>
      <c r="I387" s="3"/>
    </row>
    <row r="388" spans="1:11" ht="14.4" x14ac:dyDescent="0.3">
      <c r="A388" s="3"/>
      <c r="B388" s="33">
        <v>8</v>
      </c>
      <c r="C388" s="31" t="s">
        <v>25</v>
      </c>
      <c r="D388" s="23">
        <v>222264.72</v>
      </c>
      <c r="E388" s="23">
        <v>0</v>
      </c>
      <c r="F388" s="60">
        <f>+E388+D388</f>
        <v>222264.72</v>
      </c>
      <c r="G388" s="61">
        <f>+G387+F388</f>
        <v>840234.17</v>
      </c>
      <c r="H388" s="62"/>
      <c r="I388" s="66"/>
      <c r="J388" s="3"/>
      <c r="K388" s="3"/>
    </row>
    <row r="389" spans="1:11" s="3" customFormat="1" ht="14.4" x14ac:dyDescent="0.3">
      <c r="B389" s="33">
        <v>9</v>
      </c>
      <c r="C389" s="31" t="s">
        <v>26</v>
      </c>
      <c r="D389" s="23">
        <v>218373.12</v>
      </c>
      <c r="E389" s="23">
        <v>0</v>
      </c>
      <c r="F389" s="40">
        <f t="shared" ref="F389:F408" si="43">+E389+D389</f>
        <v>218373.12</v>
      </c>
      <c r="G389" s="65">
        <f t="shared" ref="G389:G408" si="44">+G388+F389</f>
        <v>1058607.29</v>
      </c>
      <c r="H389" s="62"/>
      <c r="I389" s="35"/>
      <c r="J389" s="35"/>
    </row>
    <row r="390" spans="1:11" s="3" customFormat="1" ht="14.4" x14ac:dyDescent="0.3">
      <c r="B390" s="33">
        <v>10</v>
      </c>
      <c r="C390" s="31" t="s">
        <v>55</v>
      </c>
      <c r="D390" s="23">
        <v>98851.59</v>
      </c>
      <c r="E390" s="23">
        <v>0</v>
      </c>
      <c r="F390" s="40">
        <f t="shared" si="43"/>
        <v>98851.59</v>
      </c>
      <c r="G390" s="65">
        <f t="shared" si="44"/>
        <v>1157458.8800000001</v>
      </c>
      <c r="H390" s="62"/>
      <c r="I390" s="35"/>
      <c r="J390" s="35"/>
    </row>
    <row r="391" spans="1:11" s="3" customFormat="1" ht="14.4" x14ac:dyDescent="0.3">
      <c r="B391" s="33">
        <v>11</v>
      </c>
      <c r="C391" s="31" t="s">
        <v>56</v>
      </c>
      <c r="D391" s="23">
        <v>127676.57</v>
      </c>
      <c r="E391" s="23">
        <v>0</v>
      </c>
      <c r="F391" s="40">
        <f t="shared" si="43"/>
        <v>127676.57</v>
      </c>
      <c r="G391" s="65">
        <f t="shared" si="44"/>
        <v>1285135.4500000002</v>
      </c>
      <c r="H391" s="62"/>
      <c r="I391" s="35"/>
      <c r="J391" s="35"/>
    </row>
    <row r="392" spans="1:11" s="3" customFormat="1" ht="14.4" x14ac:dyDescent="0.3">
      <c r="B392" s="33">
        <v>12</v>
      </c>
      <c r="C392" s="31" t="s">
        <v>71</v>
      </c>
      <c r="D392" s="23">
        <v>154602.06</v>
      </c>
      <c r="E392" s="23">
        <v>0</v>
      </c>
      <c r="F392" s="40">
        <f t="shared" si="43"/>
        <v>154602.06</v>
      </c>
      <c r="G392" s="65">
        <f t="shared" si="44"/>
        <v>1439737.5100000002</v>
      </c>
      <c r="H392" s="62"/>
      <c r="I392" s="35"/>
      <c r="J392" s="35"/>
    </row>
    <row r="393" spans="1:11" s="3" customFormat="1" ht="14.4" x14ac:dyDescent="0.3">
      <c r="B393" s="33">
        <v>13</v>
      </c>
      <c r="C393" s="31" t="s">
        <v>57</v>
      </c>
      <c r="D393" s="23">
        <v>94543.7</v>
      </c>
      <c r="E393" s="23">
        <v>0</v>
      </c>
      <c r="F393" s="40">
        <f t="shared" si="43"/>
        <v>94543.7</v>
      </c>
      <c r="G393" s="65">
        <f t="shared" si="44"/>
        <v>1534281.2100000002</v>
      </c>
      <c r="H393" s="62"/>
      <c r="I393" s="35"/>
      <c r="J393" s="35"/>
    </row>
    <row r="394" spans="1:11" s="3" customFormat="1" ht="15" customHeight="1" x14ac:dyDescent="0.3">
      <c r="B394" s="33">
        <v>14</v>
      </c>
      <c r="C394" s="49" t="s">
        <v>58</v>
      </c>
      <c r="D394" s="23">
        <v>48850.03</v>
      </c>
      <c r="E394" s="23">
        <v>0</v>
      </c>
      <c r="F394" s="40">
        <f t="shared" si="43"/>
        <v>48850.03</v>
      </c>
      <c r="G394" s="65">
        <f t="shared" si="44"/>
        <v>1583131.2400000002</v>
      </c>
      <c r="H394" s="62"/>
      <c r="I394" s="35"/>
      <c r="J394" s="35"/>
    </row>
    <row r="395" spans="1:11" s="3" customFormat="1" ht="14.4" x14ac:dyDescent="0.3">
      <c r="B395" s="33">
        <v>15</v>
      </c>
      <c r="C395" s="31" t="s">
        <v>59</v>
      </c>
      <c r="D395" s="23">
        <v>14605.09</v>
      </c>
      <c r="E395" s="23">
        <v>0</v>
      </c>
      <c r="F395" s="40">
        <f t="shared" si="43"/>
        <v>14605.09</v>
      </c>
      <c r="G395" s="65">
        <f t="shared" si="44"/>
        <v>1597736.3300000003</v>
      </c>
      <c r="H395" s="62"/>
      <c r="I395" s="35"/>
      <c r="J395" s="35"/>
    </row>
    <row r="396" spans="1:11" s="3" customFormat="1" ht="14.4" x14ac:dyDescent="0.3">
      <c r="B396" s="33">
        <v>16</v>
      </c>
      <c r="C396" s="31" t="s">
        <v>60</v>
      </c>
      <c r="D396" s="23">
        <v>14286.51</v>
      </c>
      <c r="E396" s="23">
        <v>0</v>
      </c>
      <c r="F396" s="40">
        <f t="shared" si="43"/>
        <v>14286.51</v>
      </c>
      <c r="G396" s="65">
        <f t="shared" si="44"/>
        <v>1612022.8400000003</v>
      </c>
      <c r="H396" s="62"/>
      <c r="I396" s="35"/>
      <c r="J396" s="35"/>
    </row>
    <row r="397" spans="1:11" s="3" customFormat="1" ht="14.4" x14ac:dyDescent="0.3">
      <c r="B397" s="33">
        <v>17</v>
      </c>
      <c r="C397" s="31" t="s">
        <v>61</v>
      </c>
      <c r="D397" s="23">
        <v>59214.02</v>
      </c>
      <c r="E397" s="23">
        <v>0</v>
      </c>
      <c r="F397" s="40">
        <f t="shared" si="43"/>
        <v>59214.02</v>
      </c>
      <c r="G397" s="65">
        <f t="shared" si="44"/>
        <v>1671236.8600000003</v>
      </c>
      <c r="H397" s="62"/>
      <c r="I397" s="35"/>
      <c r="J397" s="35"/>
    </row>
    <row r="398" spans="1:11" s="3" customFormat="1" ht="14.4" x14ac:dyDescent="0.3">
      <c r="B398" s="33">
        <v>18</v>
      </c>
      <c r="C398" s="31" t="s">
        <v>62</v>
      </c>
      <c r="D398" s="23">
        <v>1483.5</v>
      </c>
      <c r="E398" s="23">
        <v>0</v>
      </c>
      <c r="F398" s="40">
        <f t="shared" si="43"/>
        <v>1483.5</v>
      </c>
      <c r="G398" s="65">
        <f t="shared" si="44"/>
        <v>1672720.3600000003</v>
      </c>
      <c r="H398" s="62"/>
      <c r="I398" s="35"/>
      <c r="J398" s="35"/>
    </row>
    <row r="399" spans="1:11" s="3" customFormat="1" ht="14.4" x14ac:dyDescent="0.3">
      <c r="B399" s="33">
        <v>19</v>
      </c>
      <c r="C399" s="31" t="s">
        <v>63</v>
      </c>
      <c r="D399" s="23">
        <v>26882</v>
      </c>
      <c r="E399" s="23">
        <v>0</v>
      </c>
      <c r="F399" s="40">
        <f t="shared" si="43"/>
        <v>26882</v>
      </c>
      <c r="G399" s="65">
        <f t="shared" si="44"/>
        <v>1699602.3600000003</v>
      </c>
      <c r="H399" s="62"/>
      <c r="I399" s="35"/>
      <c r="J399" s="35"/>
    </row>
    <row r="400" spans="1:11" s="3" customFormat="1" ht="14.4" x14ac:dyDescent="0.3">
      <c r="B400" s="33">
        <v>20</v>
      </c>
      <c r="C400" s="31" t="s">
        <v>64</v>
      </c>
      <c r="D400" s="23">
        <v>0</v>
      </c>
      <c r="E400" s="23">
        <v>-18139.5</v>
      </c>
      <c r="F400" s="40">
        <f t="shared" si="43"/>
        <v>-18139.5</v>
      </c>
      <c r="G400" s="65">
        <f t="shared" si="44"/>
        <v>1681462.8600000003</v>
      </c>
      <c r="H400" s="62"/>
      <c r="I400" s="35"/>
      <c r="J400" s="35"/>
    </row>
    <row r="401" spans="1:12" s="3" customFormat="1" ht="14.4" x14ac:dyDescent="0.3">
      <c r="B401" s="33">
        <v>21</v>
      </c>
      <c r="C401" s="31" t="s">
        <v>65</v>
      </c>
      <c r="D401" s="23">
        <v>14085</v>
      </c>
      <c r="E401" s="23">
        <v>0</v>
      </c>
      <c r="F401" s="40">
        <f t="shared" si="43"/>
        <v>14085</v>
      </c>
      <c r="G401" s="65">
        <f t="shared" si="44"/>
        <v>1695547.8600000003</v>
      </c>
      <c r="H401" s="62"/>
      <c r="I401" s="35"/>
      <c r="J401" s="35"/>
    </row>
    <row r="402" spans="1:12" s="3" customFormat="1" ht="14.4" x14ac:dyDescent="0.3">
      <c r="B402" s="33">
        <v>22</v>
      </c>
      <c r="C402" s="31" t="s">
        <v>66</v>
      </c>
      <c r="D402" s="23">
        <v>31932.5</v>
      </c>
      <c r="E402" s="23">
        <v>0</v>
      </c>
      <c r="F402" s="40">
        <f t="shared" si="43"/>
        <v>31932.5</v>
      </c>
      <c r="G402" s="65">
        <f t="shared" si="44"/>
        <v>1727480.3600000003</v>
      </c>
      <c r="H402" s="62"/>
      <c r="I402" s="35"/>
      <c r="J402" s="35"/>
    </row>
    <row r="403" spans="1:12" s="3" customFormat="1" ht="14.4" x14ac:dyDescent="0.3">
      <c r="B403" s="33">
        <v>23</v>
      </c>
      <c r="C403" s="31" t="s">
        <v>67</v>
      </c>
      <c r="D403" s="23">
        <v>10407.5</v>
      </c>
      <c r="E403" s="23">
        <v>0</v>
      </c>
      <c r="F403" s="40">
        <f t="shared" si="43"/>
        <v>10407.5</v>
      </c>
      <c r="G403" s="65">
        <f t="shared" si="44"/>
        <v>1737887.8600000003</v>
      </c>
      <c r="H403" s="62"/>
      <c r="I403" s="35"/>
      <c r="J403" s="35"/>
    </row>
    <row r="404" spans="1:12" s="3" customFormat="1" ht="14.4" x14ac:dyDescent="0.3">
      <c r="B404" s="33">
        <v>24</v>
      </c>
      <c r="C404" s="31" t="s">
        <v>68</v>
      </c>
      <c r="D404" s="23">
        <v>1030</v>
      </c>
      <c r="E404" s="23">
        <v>0</v>
      </c>
      <c r="F404" s="40">
        <f t="shared" si="43"/>
        <v>1030</v>
      </c>
      <c r="G404" s="65">
        <f t="shared" si="44"/>
        <v>1738917.8600000003</v>
      </c>
      <c r="H404" s="62"/>
      <c r="I404" s="35"/>
      <c r="J404" s="35"/>
    </row>
    <row r="405" spans="1:12" s="3" customFormat="1" ht="14.4" x14ac:dyDescent="0.3">
      <c r="B405" s="33">
        <v>25</v>
      </c>
      <c r="C405" s="67" t="s">
        <v>69</v>
      </c>
      <c r="D405" s="23">
        <v>10209</v>
      </c>
      <c r="E405" s="23">
        <v>0</v>
      </c>
      <c r="F405" s="40">
        <f t="shared" si="43"/>
        <v>10209</v>
      </c>
      <c r="G405" s="65">
        <f t="shared" si="44"/>
        <v>1749126.8600000003</v>
      </c>
      <c r="H405" s="62"/>
      <c r="I405" s="35"/>
      <c r="J405" s="35"/>
    </row>
    <row r="406" spans="1:12" s="3" customFormat="1" ht="14.4" x14ac:dyDescent="0.3">
      <c r="B406" s="33">
        <v>26</v>
      </c>
      <c r="C406" s="67" t="s">
        <v>70</v>
      </c>
      <c r="D406" s="94">
        <v>41676.9</v>
      </c>
      <c r="E406" s="95">
        <v>0</v>
      </c>
      <c r="F406" s="96">
        <f t="shared" si="43"/>
        <v>41676.9</v>
      </c>
      <c r="G406" s="98">
        <f t="shared" si="44"/>
        <v>1790803.7600000002</v>
      </c>
      <c r="H406" s="62"/>
      <c r="I406" s="35"/>
      <c r="J406" s="35"/>
    </row>
    <row r="407" spans="1:12" s="3" customFormat="1" ht="14.4" x14ac:dyDescent="0.3">
      <c r="B407" s="33">
        <v>27</v>
      </c>
      <c r="C407" s="31" t="s">
        <v>79</v>
      </c>
      <c r="D407" s="18">
        <v>0</v>
      </c>
      <c r="E407" s="18">
        <v>0</v>
      </c>
      <c r="F407" s="36">
        <f t="shared" si="43"/>
        <v>0</v>
      </c>
      <c r="G407" s="84">
        <f t="shared" si="44"/>
        <v>1790803.7600000002</v>
      </c>
      <c r="H407" s="62"/>
      <c r="I407" s="35"/>
      <c r="J407" s="35"/>
    </row>
    <row r="408" spans="1:12" s="3" customFormat="1" ht="13.2" customHeight="1" x14ac:dyDescent="0.3">
      <c r="B408" s="33">
        <v>28</v>
      </c>
      <c r="C408" s="67" t="s">
        <v>80</v>
      </c>
      <c r="D408" s="23">
        <v>0</v>
      </c>
      <c r="E408" s="23">
        <v>-100966</v>
      </c>
      <c r="F408" s="40">
        <f t="shared" si="43"/>
        <v>-100966</v>
      </c>
      <c r="G408" s="65">
        <f t="shared" si="44"/>
        <v>1689837.7600000002</v>
      </c>
      <c r="H408" s="62"/>
      <c r="I408" s="35"/>
      <c r="J408" s="35"/>
    </row>
    <row r="409" spans="1:12" s="3" customFormat="1" ht="13.2" customHeight="1" x14ac:dyDescent="0.3">
      <c r="B409" s="33">
        <v>29</v>
      </c>
      <c r="C409" s="67" t="s">
        <v>81</v>
      </c>
      <c r="D409" s="23">
        <v>0</v>
      </c>
      <c r="E409" s="23">
        <v>0</v>
      </c>
      <c r="F409" s="40">
        <f t="shared" ref="F409:F413" si="45">+E409+D409</f>
        <v>0</v>
      </c>
      <c r="G409" s="65">
        <f t="shared" ref="G409:G412" si="46">+G408+F409</f>
        <v>1689837.7600000002</v>
      </c>
      <c r="H409" s="62"/>
      <c r="I409" s="35"/>
      <c r="J409" s="35"/>
    </row>
    <row r="410" spans="1:12" s="3" customFormat="1" ht="13.2" customHeight="1" x14ac:dyDescent="0.3">
      <c r="B410" s="33">
        <v>30</v>
      </c>
      <c r="C410" s="67" t="s">
        <v>82</v>
      </c>
      <c r="D410" s="23">
        <v>0</v>
      </c>
      <c r="E410" s="23">
        <v>0</v>
      </c>
      <c r="F410" s="40">
        <f t="shared" si="45"/>
        <v>0</v>
      </c>
      <c r="G410" s="65">
        <f t="shared" si="46"/>
        <v>1689837.7600000002</v>
      </c>
      <c r="H410" s="62"/>
      <c r="I410" s="35"/>
      <c r="J410" s="35"/>
    </row>
    <row r="411" spans="1:12" s="3" customFormat="1" ht="13.2" customHeight="1" x14ac:dyDescent="0.3">
      <c r="B411" s="33">
        <v>31</v>
      </c>
      <c r="C411" s="67" t="s">
        <v>83</v>
      </c>
      <c r="D411" s="23">
        <v>0</v>
      </c>
      <c r="E411" s="23">
        <v>0</v>
      </c>
      <c r="F411" s="40">
        <f t="shared" si="45"/>
        <v>0</v>
      </c>
      <c r="G411" s="65">
        <f t="shared" si="46"/>
        <v>1689837.7600000002</v>
      </c>
      <c r="H411" s="62"/>
      <c r="I411" s="35"/>
      <c r="J411" s="35"/>
    </row>
    <row r="412" spans="1:12" s="3" customFormat="1" ht="13.2" customHeight="1" x14ac:dyDescent="0.3">
      <c r="B412" s="33">
        <v>32</v>
      </c>
      <c r="C412" s="67" t="s">
        <v>84</v>
      </c>
      <c r="D412" s="23">
        <v>16530</v>
      </c>
      <c r="E412" s="23">
        <v>0</v>
      </c>
      <c r="F412" s="40">
        <f t="shared" si="45"/>
        <v>16530</v>
      </c>
      <c r="G412" s="65">
        <f t="shared" si="46"/>
        <v>1706367.7600000002</v>
      </c>
      <c r="H412" s="62"/>
      <c r="I412" s="35"/>
      <c r="J412" s="35"/>
    </row>
    <row r="413" spans="1:12" s="3" customFormat="1" ht="14.4" x14ac:dyDescent="0.3">
      <c r="B413" s="33">
        <v>33</v>
      </c>
      <c r="C413" s="67" t="s">
        <v>85</v>
      </c>
      <c r="D413" s="23">
        <v>0</v>
      </c>
      <c r="E413" s="23">
        <v>33510</v>
      </c>
      <c r="F413" s="40">
        <f t="shared" si="45"/>
        <v>33510</v>
      </c>
      <c r="G413" s="65">
        <f>+G412+F413</f>
        <v>1739877.7600000002</v>
      </c>
      <c r="H413" s="62"/>
      <c r="I413" s="35"/>
      <c r="J413" s="35"/>
    </row>
    <row r="414" spans="1:12" s="3" customFormat="1" ht="14.4" x14ac:dyDescent="0.3">
      <c r="B414" s="33">
        <v>34</v>
      </c>
      <c r="C414" s="67" t="s">
        <v>87</v>
      </c>
      <c r="D414" s="23">
        <v>0</v>
      </c>
      <c r="E414" s="23">
        <v>0</v>
      </c>
      <c r="F414" s="40">
        <v>0</v>
      </c>
      <c r="G414" s="23">
        <f>+G413+F414</f>
        <v>1739877.7600000002</v>
      </c>
      <c r="H414" s="62"/>
      <c r="I414" s="35"/>
      <c r="J414" s="10"/>
      <c r="K414" s="1"/>
      <c r="L414" s="32"/>
    </row>
    <row r="415" spans="1:12" s="3" customFormat="1" ht="14.4" x14ac:dyDescent="0.3">
      <c r="B415" s="33">
        <v>35</v>
      </c>
      <c r="C415" s="67" t="s">
        <v>86</v>
      </c>
      <c r="D415" s="23">
        <v>0</v>
      </c>
      <c r="E415" s="23">
        <v>0</v>
      </c>
      <c r="F415" s="40">
        <f>+E415+D415</f>
        <v>0</v>
      </c>
      <c r="G415" s="40">
        <f>+G414+F415</f>
        <v>1739877.7600000002</v>
      </c>
      <c r="H415" s="62"/>
      <c r="I415" s="35"/>
      <c r="J415" s="10"/>
      <c r="K415" s="1"/>
      <c r="L415" s="32"/>
    </row>
    <row r="416" spans="1:12" ht="14.4" x14ac:dyDescent="0.3">
      <c r="A416" s="3"/>
      <c r="B416" s="5" t="s">
        <v>45</v>
      </c>
      <c r="C416" s="68" t="s">
        <v>45</v>
      </c>
      <c r="D416" s="69" t="s">
        <v>45</v>
      </c>
      <c r="E416" s="69" t="s">
        <v>45</v>
      </c>
      <c r="F416" s="69" t="s">
        <v>45</v>
      </c>
      <c r="G416" s="69" t="s">
        <v>45</v>
      </c>
      <c r="H416" s="6" t="s">
        <v>45</v>
      </c>
      <c r="I416" s="3"/>
      <c r="J416" s="79"/>
    </row>
    <row r="417" spans="1:10" ht="14.4" x14ac:dyDescent="0.3">
      <c r="A417" s="3"/>
      <c r="B417" s="8" t="s">
        <v>27</v>
      </c>
      <c r="C417" s="70"/>
      <c r="D417" s="69" t="s">
        <v>45</v>
      </c>
      <c r="E417" s="69" t="s">
        <v>45</v>
      </c>
      <c r="F417" s="69" t="s">
        <v>45</v>
      </c>
      <c r="G417" s="69" t="s">
        <v>45</v>
      </c>
      <c r="H417" s="6" t="s">
        <v>45</v>
      </c>
      <c r="I417" s="3"/>
      <c r="J417" s="79"/>
    </row>
    <row r="418" spans="1:10" ht="14.4" x14ac:dyDescent="0.3">
      <c r="A418" s="3"/>
      <c r="B418" s="9" t="s">
        <v>28</v>
      </c>
      <c r="C418" s="5"/>
      <c r="D418" s="6"/>
      <c r="E418" s="6"/>
      <c r="F418" s="71"/>
      <c r="G418" s="71"/>
      <c r="H418" s="72"/>
      <c r="I418" s="3"/>
    </row>
    <row r="419" spans="1:10" ht="14.4" x14ac:dyDescent="0.3">
      <c r="A419" s="3"/>
      <c r="B419" s="9" t="s">
        <v>29</v>
      </c>
      <c r="C419" s="5"/>
      <c r="D419" s="6"/>
      <c r="E419" s="6"/>
      <c r="F419" s="71"/>
      <c r="G419" s="69" t="s">
        <v>45</v>
      </c>
      <c r="H419" s="6" t="s">
        <v>45</v>
      </c>
      <c r="I419" s="3"/>
    </row>
    <row r="420" spans="1:10" ht="14.4" x14ac:dyDescent="0.3">
      <c r="A420" s="3"/>
      <c r="B420" s="9" t="s">
        <v>30</v>
      </c>
      <c r="C420" s="5"/>
      <c r="D420" s="6"/>
      <c r="E420" s="6"/>
      <c r="F420" s="69" t="s">
        <v>45</v>
      </c>
      <c r="G420" s="69" t="s">
        <v>45</v>
      </c>
      <c r="H420" s="6" t="s">
        <v>45</v>
      </c>
      <c r="I420" s="3"/>
    </row>
    <row r="421" spans="1:10" ht="14.4" x14ac:dyDescent="0.3">
      <c r="A421" s="3"/>
      <c r="B421" s="9" t="s">
        <v>45</v>
      </c>
      <c r="C421" s="68" t="s">
        <v>45</v>
      </c>
      <c r="D421" s="69" t="s">
        <v>45</v>
      </c>
      <c r="E421" s="69" t="s">
        <v>45</v>
      </c>
      <c r="F421" s="69" t="s">
        <v>45</v>
      </c>
      <c r="G421" s="69" t="s">
        <v>45</v>
      </c>
      <c r="H421" s="6" t="s">
        <v>45</v>
      </c>
      <c r="I421" s="3"/>
    </row>
    <row r="422" spans="1:10" ht="14.4" x14ac:dyDescent="0.3">
      <c r="A422" s="3"/>
      <c r="B422" s="9" t="s">
        <v>45</v>
      </c>
      <c r="C422" s="68" t="s">
        <v>45</v>
      </c>
      <c r="D422" s="69" t="s">
        <v>45</v>
      </c>
      <c r="E422" s="69" t="s">
        <v>45</v>
      </c>
      <c r="F422" s="69" t="s">
        <v>45</v>
      </c>
      <c r="G422" s="69" t="s">
        <v>45</v>
      </c>
      <c r="H422" s="6" t="s">
        <v>45</v>
      </c>
      <c r="I422" s="3"/>
    </row>
    <row r="423" spans="1:10" ht="18" x14ac:dyDescent="0.35">
      <c r="A423" s="3"/>
      <c r="C423" s="73"/>
      <c r="D423" s="184" t="s">
        <v>31</v>
      </c>
      <c r="E423" s="184"/>
      <c r="F423" s="184"/>
      <c r="G423" s="184"/>
      <c r="H423" s="184"/>
      <c r="I423" s="3"/>
    </row>
    <row r="424" spans="1:10" ht="15.6" x14ac:dyDescent="0.3">
      <c r="A424" s="28"/>
      <c r="B424" s="24" t="s">
        <v>45</v>
      </c>
      <c r="C424" s="74" t="s">
        <v>45</v>
      </c>
      <c r="D424" s="185" t="s">
        <v>50</v>
      </c>
      <c r="E424" s="185"/>
      <c r="F424" s="185"/>
      <c r="G424" s="185"/>
      <c r="H424" s="185"/>
      <c r="I424" s="28"/>
    </row>
    <row r="425" spans="1:10" ht="15.9" customHeight="1" x14ac:dyDescent="0.3">
      <c r="A425" s="3"/>
      <c r="B425" s="132" t="s">
        <v>89</v>
      </c>
      <c r="C425" s="132"/>
      <c r="D425" s="132"/>
      <c r="E425" s="132"/>
      <c r="F425" s="132"/>
      <c r="G425" s="132"/>
      <c r="H425" s="132"/>
      <c r="I425" s="3"/>
    </row>
    <row r="426" spans="1:10" ht="14.4" x14ac:dyDescent="0.3">
      <c r="A426" s="3"/>
      <c r="B426" s="14"/>
      <c r="C426" s="15"/>
      <c r="D426" s="152" t="s">
        <v>6</v>
      </c>
      <c r="E426" s="152"/>
      <c r="F426" s="152"/>
      <c r="G426" s="152"/>
      <c r="H426" s="180" t="s">
        <v>45</v>
      </c>
      <c r="I426" s="3"/>
    </row>
    <row r="427" spans="1:10" ht="14.4" x14ac:dyDescent="0.3">
      <c r="A427" s="3"/>
      <c r="B427" s="12"/>
      <c r="C427" s="13"/>
      <c r="D427" s="155" t="s">
        <v>9</v>
      </c>
      <c r="E427" s="155"/>
      <c r="F427" s="155"/>
      <c r="G427" s="155"/>
      <c r="H427" s="180"/>
      <c r="I427" s="3"/>
    </row>
    <row r="428" spans="1:10" ht="14.4" x14ac:dyDescent="0.3">
      <c r="A428" s="3"/>
      <c r="B428" s="111" t="s">
        <v>10</v>
      </c>
      <c r="C428" s="113" t="s">
        <v>11</v>
      </c>
      <c r="D428" s="44" t="s">
        <v>12</v>
      </c>
      <c r="E428" s="44" t="s">
        <v>13</v>
      </c>
      <c r="F428" s="44" t="s">
        <v>14</v>
      </c>
      <c r="G428" s="57" t="s">
        <v>15</v>
      </c>
      <c r="H428" s="175" t="s">
        <v>45</v>
      </c>
      <c r="I428" s="3"/>
    </row>
    <row r="429" spans="1:10" ht="14.4" x14ac:dyDescent="0.3">
      <c r="A429" s="3"/>
      <c r="B429" s="111"/>
      <c r="C429" s="113"/>
      <c r="D429" s="165" t="s">
        <v>20</v>
      </c>
      <c r="E429" s="165"/>
      <c r="F429" s="165"/>
      <c r="G429" s="165"/>
      <c r="H429" s="175"/>
      <c r="I429" s="3"/>
    </row>
    <row r="430" spans="1:10" ht="14.4" x14ac:dyDescent="0.3">
      <c r="A430" s="3"/>
      <c r="B430" s="33">
        <v>4</v>
      </c>
      <c r="C430" s="58" t="s">
        <v>21</v>
      </c>
      <c r="D430" s="59">
        <v>37918.22</v>
      </c>
      <c r="E430" s="23">
        <v>0</v>
      </c>
      <c r="F430" s="60">
        <f>+E430+D430</f>
        <v>37918.22</v>
      </c>
      <c r="G430" s="61">
        <f>+F430</f>
        <v>37918.22</v>
      </c>
      <c r="H430" s="62" t="s">
        <v>45</v>
      </c>
      <c r="I430" s="3"/>
    </row>
    <row r="431" spans="1:10" ht="14.4" x14ac:dyDescent="0.3">
      <c r="A431" s="3"/>
      <c r="B431" s="63">
        <v>5</v>
      </c>
      <c r="C431" s="64" t="s">
        <v>22</v>
      </c>
      <c r="D431" s="59">
        <v>48259.5</v>
      </c>
      <c r="E431" s="23">
        <v>0</v>
      </c>
      <c r="F431" s="60">
        <f>+E431+D431</f>
        <v>48259.5</v>
      </c>
      <c r="G431" s="61">
        <f>+G430+F431</f>
        <v>86177.72</v>
      </c>
      <c r="H431" s="62" t="s">
        <v>45</v>
      </c>
      <c r="I431" s="3"/>
    </row>
    <row r="432" spans="1:10" ht="14.4" x14ac:dyDescent="0.3">
      <c r="A432" s="3"/>
      <c r="B432" s="63">
        <v>6</v>
      </c>
      <c r="C432" s="64" t="s">
        <v>23</v>
      </c>
      <c r="D432" s="59">
        <v>32894.22</v>
      </c>
      <c r="E432" s="23">
        <v>0</v>
      </c>
      <c r="F432" s="60">
        <f>+E432+D432</f>
        <v>32894.22</v>
      </c>
      <c r="G432" s="61">
        <f>+G431+F432</f>
        <v>119071.94</v>
      </c>
      <c r="H432" s="62" t="s">
        <v>45</v>
      </c>
      <c r="I432" s="3"/>
    </row>
    <row r="433" spans="1:11" ht="14.4" x14ac:dyDescent="0.3">
      <c r="A433" s="3"/>
      <c r="B433" s="63">
        <v>7</v>
      </c>
      <c r="C433" s="64" t="s">
        <v>24</v>
      </c>
      <c r="D433" s="59">
        <v>67457.5</v>
      </c>
      <c r="E433" s="23">
        <f>119163-67457.5</f>
        <v>51705.5</v>
      </c>
      <c r="F433" s="60">
        <f>+E433+D433</f>
        <v>119163</v>
      </c>
      <c r="G433" s="61">
        <f>+G432+F433</f>
        <v>238234.94</v>
      </c>
      <c r="H433" s="62" t="s">
        <v>45</v>
      </c>
      <c r="I433" s="3"/>
    </row>
    <row r="434" spans="1:11" ht="14.4" x14ac:dyDescent="0.3">
      <c r="A434" s="3"/>
      <c r="B434" s="33">
        <v>8</v>
      </c>
      <c r="C434" s="31" t="s">
        <v>25</v>
      </c>
      <c r="D434" s="23">
        <v>159519.04999999999</v>
      </c>
      <c r="E434" s="23">
        <v>0</v>
      </c>
      <c r="F434" s="60">
        <f>+E434+D434</f>
        <v>159519.04999999999</v>
      </c>
      <c r="G434" s="61">
        <f>+G433+F434</f>
        <v>397753.99</v>
      </c>
      <c r="H434" s="62"/>
      <c r="I434" s="10"/>
      <c r="J434" s="3"/>
      <c r="K434" s="3"/>
    </row>
    <row r="435" spans="1:11" s="3" customFormat="1" ht="14.4" x14ac:dyDescent="0.3">
      <c r="B435" s="33">
        <v>9</v>
      </c>
      <c r="C435" s="31" t="s">
        <v>26</v>
      </c>
      <c r="D435" s="23">
        <v>96343.51</v>
      </c>
      <c r="E435" s="23">
        <v>0</v>
      </c>
      <c r="F435" s="40">
        <f t="shared" ref="F435:F454" si="47">+E435+D435</f>
        <v>96343.51</v>
      </c>
      <c r="G435" s="65">
        <f t="shared" ref="G435:G454" si="48">+G434+F435</f>
        <v>494097.5</v>
      </c>
      <c r="H435" s="62"/>
      <c r="I435" s="35"/>
      <c r="J435" s="35"/>
    </row>
    <row r="436" spans="1:11" s="3" customFormat="1" ht="14.4" x14ac:dyDescent="0.3">
      <c r="B436" s="33">
        <v>10</v>
      </c>
      <c r="C436" s="31" t="s">
        <v>55</v>
      </c>
      <c r="D436" s="23">
        <v>59380.5</v>
      </c>
      <c r="E436" s="23">
        <v>0</v>
      </c>
      <c r="F436" s="40">
        <f t="shared" si="47"/>
        <v>59380.5</v>
      </c>
      <c r="G436" s="65">
        <f t="shared" si="48"/>
        <v>553478</v>
      </c>
      <c r="H436" s="62"/>
      <c r="I436" s="35"/>
      <c r="J436" s="35"/>
    </row>
    <row r="437" spans="1:11" s="3" customFormat="1" ht="14.4" x14ac:dyDescent="0.3">
      <c r="B437" s="33">
        <v>11</v>
      </c>
      <c r="C437" s="31" t="s">
        <v>56</v>
      </c>
      <c r="D437" s="23">
        <v>73991.02</v>
      </c>
      <c r="E437" s="23">
        <v>0</v>
      </c>
      <c r="F437" s="40">
        <f t="shared" si="47"/>
        <v>73991.02</v>
      </c>
      <c r="G437" s="65">
        <f t="shared" si="48"/>
        <v>627469.02</v>
      </c>
      <c r="H437" s="62"/>
      <c r="I437" s="35"/>
      <c r="J437" s="35"/>
    </row>
    <row r="438" spans="1:11" s="3" customFormat="1" ht="14.4" x14ac:dyDescent="0.3">
      <c r="B438" s="33">
        <v>12</v>
      </c>
      <c r="C438" s="31" t="s">
        <v>71</v>
      </c>
      <c r="D438" s="23">
        <v>84057.51</v>
      </c>
      <c r="E438" s="23">
        <v>0</v>
      </c>
      <c r="F438" s="40">
        <f t="shared" si="47"/>
        <v>84057.51</v>
      </c>
      <c r="G438" s="65">
        <f t="shared" si="48"/>
        <v>711526.53</v>
      </c>
      <c r="H438" s="62"/>
      <c r="I438" s="35"/>
      <c r="J438" s="35"/>
    </row>
    <row r="439" spans="1:11" s="3" customFormat="1" ht="14.4" x14ac:dyDescent="0.3">
      <c r="B439" s="33">
        <v>13</v>
      </c>
      <c r="C439" s="31" t="s">
        <v>57</v>
      </c>
      <c r="D439" s="23">
        <v>35014.699999999997</v>
      </c>
      <c r="E439" s="23">
        <v>0</v>
      </c>
      <c r="F439" s="40">
        <f t="shared" si="47"/>
        <v>35014.699999999997</v>
      </c>
      <c r="G439" s="65">
        <f t="shared" si="48"/>
        <v>746541.23</v>
      </c>
      <c r="H439" s="62"/>
      <c r="I439" s="35"/>
      <c r="J439" s="35"/>
    </row>
    <row r="440" spans="1:11" s="3" customFormat="1" ht="15" customHeight="1" x14ac:dyDescent="0.3">
      <c r="B440" s="33">
        <v>14</v>
      </c>
      <c r="C440" s="49" t="s">
        <v>58</v>
      </c>
      <c r="D440" s="23">
        <v>29413.01</v>
      </c>
      <c r="E440" s="23">
        <v>0</v>
      </c>
      <c r="F440" s="40">
        <f t="shared" si="47"/>
        <v>29413.01</v>
      </c>
      <c r="G440" s="65">
        <f t="shared" si="48"/>
        <v>775954.24</v>
      </c>
      <c r="H440" s="62"/>
      <c r="I440" s="35"/>
      <c r="J440" s="35"/>
    </row>
    <row r="441" spans="1:11" s="3" customFormat="1" ht="14.4" x14ac:dyDescent="0.3">
      <c r="B441" s="33">
        <v>15</v>
      </c>
      <c r="C441" s="31" t="s">
        <v>59</v>
      </c>
      <c r="D441" s="23">
        <v>7340</v>
      </c>
      <c r="E441" s="23">
        <v>0</v>
      </c>
      <c r="F441" s="40">
        <f t="shared" si="47"/>
        <v>7340</v>
      </c>
      <c r="G441" s="65">
        <f t="shared" si="48"/>
        <v>783294.24</v>
      </c>
      <c r="H441" s="62"/>
      <c r="I441" s="35"/>
      <c r="J441" s="35"/>
    </row>
    <row r="442" spans="1:11" s="3" customFormat="1" ht="14.4" x14ac:dyDescent="0.3">
      <c r="B442" s="33">
        <v>16</v>
      </c>
      <c r="C442" s="31" t="s">
        <v>60</v>
      </c>
      <c r="D442" s="23">
        <v>409.51</v>
      </c>
      <c r="E442" s="23">
        <v>0</v>
      </c>
      <c r="F442" s="40">
        <f t="shared" si="47"/>
        <v>409.51</v>
      </c>
      <c r="G442" s="65">
        <f t="shared" si="48"/>
        <v>783703.75</v>
      </c>
      <c r="H442" s="62"/>
      <c r="I442" s="35"/>
      <c r="J442" s="35"/>
    </row>
    <row r="443" spans="1:11" s="3" customFormat="1" ht="14.4" x14ac:dyDescent="0.3">
      <c r="B443" s="33">
        <v>17</v>
      </c>
      <c r="C443" s="31" t="s">
        <v>61</v>
      </c>
      <c r="D443" s="23">
        <v>0</v>
      </c>
      <c r="E443" s="23">
        <v>0</v>
      </c>
      <c r="F443" s="40">
        <f t="shared" si="47"/>
        <v>0</v>
      </c>
      <c r="G443" s="65">
        <f t="shared" si="48"/>
        <v>783703.75</v>
      </c>
      <c r="H443" s="62"/>
      <c r="I443" s="35"/>
      <c r="J443" s="35"/>
    </row>
    <row r="444" spans="1:11" s="3" customFormat="1" ht="14.4" x14ac:dyDescent="0.3">
      <c r="B444" s="33">
        <v>18</v>
      </c>
      <c r="C444" s="31" t="s">
        <v>62</v>
      </c>
      <c r="D444" s="23">
        <v>508</v>
      </c>
      <c r="E444" s="23">
        <v>0</v>
      </c>
      <c r="F444" s="40">
        <f t="shared" si="47"/>
        <v>508</v>
      </c>
      <c r="G444" s="65">
        <f t="shared" si="48"/>
        <v>784211.75</v>
      </c>
      <c r="H444" s="62"/>
      <c r="I444" s="35"/>
      <c r="J444" s="35"/>
    </row>
    <row r="445" spans="1:11" s="3" customFormat="1" ht="14.4" x14ac:dyDescent="0.3">
      <c r="B445" s="33">
        <v>19</v>
      </c>
      <c r="C445" s="31" t="s">
        <v>63</v>
      </c>
      <c r="D445" s="23">
        <v>0</v>
      </c>
      <c r="E445" s="23">
        <v>0</v>
      </c>
      <c r="F445" s="40">
        <f t="shared" si="47"/>
        <v>0</v>
      </c>
      <c r="G445" s="65">
        <f t="shared" si="48"/>
        <v>784211.75</v>
      </c>
      <c r="H445" s="62"/>
      <c r="I445" s="35"/>
      <c r="J445" s="35"/>
    </row>
    <row r="446" spans="1:11" s="3" customFormat="1" ht="14.4" x14ac:dyDescent="0.3">
      <c r="B446" s="33">
        <v>20</v>
      </c>
      <c r="C446" s="31" t="s">
        <v>64</v>
      </c>
      <c r="D446" s="23">
        <v>0</v>
      </c>
      <c r="E446" s="23">
        <v>-19420</v>
      </c>
      <c r="F446" s="40">
        <f t="shared" si="47"/>
        <v>-19420</v>
      </c>
      <c r="G446" s="65">
        <f t="shared" si="48"/>
        <v>764791.75</v>
      </c>
      <c r="H446" s="62"/>
      <c r="I446" s="35"/>
      <c r="J446" s="35"/>
    </row>
    <row r="447" spans="1:11" s="3" customFormat="1" ht="14.4" x14ac:dyDescent="0.3">
      <c r="B447" s="33">
        <v>21</v>
      </c>
      <c r="C447" s="31" t="s">
        <v>65</v>
      </c>
      <c r="D447" s="23">
        <v>14085</v>
      </c>
      <c r="E447" s="23">
        <v>0</v>
      </c>
      <c r="F447" s="40">
        <f t="shared" si="47"/>
        <v>14085</v>
      </c>
      <c r="G447" s="65">
        <f t="shared" si="48"/>
        <v>778876.75</v>
      </c>
      <c r="H447" s="62"/>
      <c r="I447" s="35"/>
      <c r="J447" s="35"/>
    </row>
    <row r="448" spans="1:11" s="3" customFormat="1" ht="14.4" x14ac:dyDescent="0.3">
      <c r="B448" s="33">
        <v>22</v>
      </c>
      <c r="C448" s="31" t="s">
        <v>66</v>
      </c>
      <c r="D448" s="23">
        <v>0</v>
      </c>
      <c r="E448" s="23">
        <v>0</v>
      </c>
      <c r="F448" s="40">
        <f t="shared" si="47"/>
        <v>0</v>
      </c>
      <c r="G448" s="65">
        <f t="shared" si="48"/>
        <v>778876.75</v>
      </c>
      <c r="H448" s="62"/>
      <c r="I448" s="35"/>
      <c r="J448" s="35"/>
    </row>
    <row r="449" spans="1:12" s="3" customFormat="1" ht="14.4" x14ac:dyDescent="0.3">
      <c r="B449" s="33">
        <v>23</v>
      </c>
      <c r="C449" s="31" t="s">
        <v>67</v>
      </c>
      <c r="D449" s="23">
        <v>10407.5</v>
      </c>
      <c r="E449" s="23">
        <v>0</v>
      </c>
      <c r="F449" s="40">
        <f t="shared" si="47"/>
        <v>10407.5</v>
      </c>
      <c r="G449" s="65">
        <f t="shared" si="48"/>
        <v>789284.25</v>
      </c>
      <c r="H449" s="62"/>
      <c r="I449" s="35"/>
      <c r="J449" s="35"/>
    </row>
    <row r="450" spans="1:12" s="3" customFormat="1" ht="14.4" x14ac:dyDescent="0.3">
      <c r="B450" s="33">
        <v>24</v>
      </c>
      <c r="C450" s="31" t="s">
        <v>68</v>
      </c>
      <c r="D450" s="23">
        <v>1030</v>
      </c>
      <c r="E450" s="23">
        <v>0</v>
      </c>
      <c r="F450" s="40">
        <f t="shared" si="47"/>
        <v>1030</v>
      </c>
      <c r="G450" s="65">
        <f t="shared" si="48"/>
        <v>790314.25</v>
      </c>
      <c r="H450" s="62"/>
      <c r="I450" s="35"/>
      <c r="J450" s="35"/>
    </row>
    <row r="451" spans="1:12" s="3" customFormat="1" ht="14.4" x14ac:dyDescent="0.3">
      <c r="B451" s="33">
        <v>25</v>
      </c>
      <c r="C451" s="67" t="s">
        <v>69</v>
      </c>
      <c r="D451" s="23">
        <v>10209</v>
      </c>
      <c r="E451" s="23">
        <v>0</v>
      </c>
      <c r="F451" s="40">
        <f t="shared" si="47"/>
        <v>10209</v>
      </c>
      <c r="G451" s="65">
        <f t="shared" si="48"/>
        <v>800523.25</v>
      </c>
      <c r="H451" s="62"/>
      <c r="I451" s="35"/>
      <c r="J451" s="35"/>
    </row>
    <row r="452" spans="1:12" s="3" customFormat="1" ht="14.4" x14ac:dyDescent="0.3">
      <c r="B452" s="33">
        <v>26</v>
      </c>
      <c r="C452" s="67" t="s">
        <v>70</v>
      </c>
      <c r="D452" s="94">
        <v>41676.9</v>
      </c>
      <c r="E452" s="95">
        <v>0</v>
      </c>
      <c r="F452" s="96">
        <f t="shared" si="47"/>
        <v>41676.9</v>
      </c>
      <c r="G452" s="98">
        <f t="shared" si="48"/>
        <v>842200.15</v>
      </c>
      <c r="H452" s="62"/>
      <c r="I452" s="35"/>
      <c r="J452" s="35"/>
    </row>
    <row r="453" spans="1:12" s="3" customFormat="1" ht="14.4" x14ac:dyDescent="0.3">
      <c r="B453" s="33">
        <v>27</v>
      </c>
      <c r="C453" s="31" t="s">
        <v>79</v>
      </c>
      <c r="D453" s="18">
        <v>0</v>
      </c>
      <c r="E453" s="18">
        <v>0</v>
      </c>
      <c r="F453" s="36">
        <f t="shared" si="47"/>
        <v>0</v>
      </c>
      <c r="G453" s="84">
        <f t="shared" si="48"/>
        <v>842200.15</v>
      </c>
      <c r="H453" s="62"/>
      <c r="I453" s="35"/>
      <c r="J453" s="35"/>
    </row>
    <row r="454" spans="1:12" s="3" customFormat="1" ht="13.2" customHeight="1" x14ac:dyDescent="0.3">
      <c r="B454" s="33">
        <v>28</v>
      </c>
      <c r="C454" s="67" t="s">
        <v>80</v>
      </c>
      <c r="D454" s="23">
        <v>0</v>
      </c>
      <c r="E454" s="23">
        <v>0</v>
      </c>
      <c r="F454" s="40">
        <f t="shared" si="47"/>
        <v>0</v>
      </c>
      <c r="G454" s="65">
        <f t="shared" si="48"/>
        <v>842200.15</v>
      </c>
      <c r="H454" s="62"/>
      <c r="I454" s="35"/>
      <c r="J454" s="35"/>
    </row>
    <row r="455" spans="1:12" s="3" customFormat="1" ht="13.2" customHeight="1" x14ac:dyDescent="0.3">
      <c r="B455" s="33">
        <v>29</v>
      </c>
      <c r="C455" s="67" t="s">
        <v>81</v>
      </c>
      <c r="D455" s="23">
        <v>0</v>
      </c>
      <c r="E455" s="23">
        <v>0</v>
      </c>
      <c r="F455" s="40">
        <f t="shared" ref="F455:F459" si="49">+E455+D455</f>
        <v>0</v>
      </c>
      <c r="G455" s="65">
        <f t="shared" ref="G455:G458" si="50">+G454+F455</f>
        <v>842200.15</v>
      </c>
      <c r="H455" s="62"/>
      <c r="I455" s="35"/>
      <c r="J455" s="35"/>
    </row>
    <row r="456" spans="1:12" s="3" customFormat="1" ht="13.2" customHeight="1" x14ac:dyDescent="0.3">
      <c r="B456" s="33">
        <v>30</v>
      </c>
      <c r="C456" s="67" t="s">
        <v>82</v>
      </c>
      <c r="D456" s="23">
        <v>0</v>
      </c>
      <c r="E456" s="23">
        <v>0</v>
      </c>
      <c r="F456" s="40">
        <f t="shared" si="49"/>
        <v>0</v>
      </c>
      <c r="G456" s="65">
        <f t="shared" si="50"/>
        <v>842200.15</v>
      </c>
      <c r="H456" s="62"/>
      <c r="I456" s="35"/>
      <c r="J456" s="35"/>
    </row>
    <row r="457" spans="1:12" s="3" customFormat="1" ht="13.2" customHeight="1" x14ac:dyDescent="0.3">
      <c r="B457" s="33">
        <v>31</v>
      </c>
      <c r="C457" s="67" t="s">
        <v>83</v>
      </c>
      <c r="D457" s="23">
        <v>0</v>
      </c>
      <c r="E457" s="23">
        <v>0</v>
      </c>
      <c r="F457" s="40">
        <f t="shared" si="49"/>
        <v>0</v>
      </c>
      <c r="G457" s="65">
        <f t="shared" si="50"/>
        <v>842200.15</v>
      </c>
      <c r="H457" s="62"/>
      <c r="I457" s="35"/>
      <c r="J457" s="35"/>
    </row>
    <row r="458" spans="1:12" s="3" customFormat="1" ht="13.2" customHeight="1" x14ac:dyDescent="0.3">
      <c r="B458" s="33">
        <v>32</v>
      </c>
      <c r="C458" s="67" t="s">
        <v>84</v>
      </c>
      <c r="D458" s="23">
        <v>16530</v>
      </c>
      <c r="E458" s="23">
        <v>0</v>
      </c>
      <c r="F458" s="40">
        <f t="shared" si="49"/>
        <v>16530</v>
      </c>
      <c r="G458" s="65">
        <f t="shared" si="50"/>
        <v>858730.15</v>
      </c>
      <c r="H458" s="62"/>
      <c r="I458" s="35"/>
      <c r="J458" s="35"/>
    </row>
    <row r="459" spans="1:12" s="3" customFormat="1" ht="14.4" x14ac:dyDescent="0.3">
      <c r="B459" s="33">
        <v>33</v>
      </c>
      <c r="C459" s="67" t="s">
        <v>85</v>
      </c>
      <c r="D459" s="23">
        <v>0</v>
      </c>
      <c r="E459" s="23">
        <v>33510</v>
      </c>
      <c r="F459" s="40">
        <f t="shared" si="49"/>
        <v>33510</v>
      </c>
      <c r="G459" s="65">
        <f>+G458+F459</f>
        <v>892240.15</v>
      </c>
      <c r="H459" s="62"/>
      <c r="I459" s="35"/>
      <c r="J459" s="35"/>
    </row>
    <row r="460" spans="1:12" s="3" customFormat="1" ht="14.4" x14ac:dyDescent="0.3">
      <c r="B460" s="33">
        <v>34</v>
      </c>
      <c r="C460" s="67" t="s">
        <v>87</v>
      </c>
      <c r="D460" s="23">
        <v>0</v>
      </c>
      <c r="E460" s="23">
        <v>0</v>
      </c>
      <c r="F460" s="40">
        <v>0</v>
      </c>
      <c r="G460" s="23">
        <f>+G459+F460</f>
        <v>892240.15</v>
      </c>
      <c r="H460" s="62"/>
      <c r="I460" s="35"/>
      <c r="J460" s="10"/>
      <c r="K460" s="1"/>
      <c r="L460" s="32"/>
    </row>
    <row r="461" spans="1:12" s="3" customFormat="1" ht="14.4" x14ac:dyDescent="0.3">
      <c r="B461" s="33">
        <v>35</v>
      </c>
      <c r="C461" s="67" t="s">
        <v>86</v>
      </c>
      <c r="D461" s="23">
        <v>0</v>
      </c>
      <c r="E461" s="23">
        <v>0</v>
      </c>
      <c r="F461" s="40">
        <f>+E461+D461</f>
        <v>0</v>
      </c>
      <c r="G461" s="40">
        <f>+G460+F461</f>
        <v>892240.15</v>
      </c>
      <c r="H461" s="62"/>
      <c r="I461" s="35"/>
      <c r="J461" s="10"/>
      <c r="K461" s="1"/>
      <c r="L461" s="32"/>
    </row>
    <row r="462" spans="1:12" ht="14.4" x14ac:dyDescent="0.3">
      <c r="A462" s="3"/>
      <c r="B462" s="5" t="s">
        <v>45</v>
      </c>
      <c r="C462" s="68" t="s">
        <v>45</v>
      </c>
      <c r="D462" s="69" t="s">
        <v>45</v>
      </c>
      <c r="E462" s="69" t="s">
        <v>45</v>
      </c>
      <c r="F462" s="69" t="s">
        <v>45</v>
      </c>
      <c r="G462" s="69" t="s">
        <v>45</v>
      </c>
      <c r="H462" s="6" t="s">
        <v>45</v>
      </c>
      <c r="I462" s="3"/>
    </row>
    <row r="463" spans="1:12" ht="14.4" x14ac:dyDescent="0.3">
      <c r="A463" s="3"/>
      <c r="B463" s="8" t="s">
        <v>27</v>
      </c>
      <c r="C463" s="70"/>
      <c r="D463" s="69" t="s">
        <v>45</v>
      </c>
      <c r="E463" s="69" t="s">
        <v>45</v>
      </c>
      <c r="F463" s="69" t="s">
        <v>45</v>
      </c>
      <c r="G463" s="69" t="s">
        <v>45</v>
      </c>
      <c r="H463" s="6" t="s">
        <v>45</v>
      </c>
      <c r="I463" s="3"/>
    </row>
    <row r="464" spans="1:12" ht="14.4" x14ac:dyDescent="0.3">
      <c r="A464" s="3"/>
      <c r="B464" s="9" t="s">
        <v>28</v>
      </c>
      <c r="C464" s="5"/>
      <c r="D464" s="6"/>
      <c r="E464" s="6"/>
      <c r="F464" s="71"/>
      <c r="G464" s="71"/>
      <c r="H464" s="72"/>
      <c r="I464" s="3"/>
    </row>
    <row r="465" spans="1:11" ht="14.4" x14ac:dyDescent="0.3">
      <c r="A465" s="3"/>
      <c r="B465" s="9" t="s">
        <v>29</v>
      </c>
      <c r="C465" s="5"/>
      <c r="D465" s="6"/>
      <c r="E465" s="6"/>
      <c r="F465" s="71"/>
      <c r="G465" s="69" t="s">
        <v>45</v>
      </c>
      <c r="H465" s="6" t="s">
        <v>45</v>
      </c>
      <c r="I465" s="3"/>
    </row>
    <row r="466" spans="1:11" ht="14.4" x14ac:dyDescent="0.3">
      <c r="A466" s="3"/>
      <c r="B466" s="9" t="s">
        <v>30</v>
      </c>
      <c r="C466" s="5"/>
      <c r="D466" s="6"/>
      <c r="E466" s="6"/>
      <c r="F466" s="69" t="s">
        <v>45</v>
      </c>
      <c r="G466" s="69" t="s">
        <v>45</v>
      </c>
      <c r="H466" s="6" t="s">
        <v>45</v>
      </c>
      <c r="I466" s="3"/>
    </row>
    <row r="467" spans="1:11" ht="14.4" x14ac:dyDescent="0.3">
      <c r="A467" s="3"/>
      <c r="B467" s="10"/>
      <c r="C467" s="73"/>
      <c r="D467" s="75"/>
      <c r="E467" s="75"/>
      <c r="F467" s="75"/>
      <c r="G467" s="75"/>
      <c r="H467" s="35"/>
      <c r="I467" s="3"/>
    </row>
    <row r="468" spans="1:11" ht="14.4" x14ac:dyDescent="0.3">
      <c r="A468" s="3"/>
      <c r="B468" s="10"/>
      <c r="C468" s="73"/>
      <c r="D468" s="75"/>
      <c r="E468" s="75"/>
      <c r="F468" s="75"/>
      <c r="G468" s="75"/>
      <c r="H468" s="35"/>
      <c r="I468" s="3"/>
    </row>
    <row r="469" spans="1:11" ht="18" x14ac:dyDescent="0.35">
      <c r="A469" s="3"/>
      <c r="C469" s="73"/>
      <c r="D469" s="182" t="s">
        <v>33</v>
      </c>
      <c r="E469" s="182"/>
      <c r="F469" s="182"/>
      <c r="G469" s="182"/>
      <c r="H469" s="182"/>
      <c r="I469" s="3"/>
    </row>
    <row r="470" spans="1:11" ht="15.6" x14ac:dyDescent="0.3">
      <c r="A470" s="28"/>
      <c r="B470" s="24" t="s">
        <v>45</v>
      </c>
      <c r="C470" s="74" t="s">
        <v>45</v>
      </c>
      <c r="D470" s="183" t="s">
        <v>50</v>
      </c>
      <c r="E470" s="183"/>
      <c r="F470" s="183"/>
      <c r="G470" s="183"/>
      <c r="H470" s="183"/>
      <c r="I470" s="28"/>
    </row>
    <row r="471" spans="1:11" ht="15.9" customHeight="1" x14ac:dyDescent="0.3">
      <c r="A471" s="3"/>
      <c r="B471" s="132" t="s">
        <v>89</v>
      </c>
      <c r="C471" s="132"/>
      <c r="D471" s="132"/>
      <c r="E471" s="132"/>
      <c r="F471" s="132"/>
      <c r="G471" s="132"/>
      <c r="H471" s="132"/>
      <c r="I471" s="3"/>
    </row>
    <row r="472" spans="1:11" ht="14.4" x14ac:dyDescent="0.3">
      <c r="A472" s="3"/>
      <c r="B472" s="14"/>
      <c r="C472" s="15"/>
      <c r="D472" s="152" t="s">
        <v>6</v>
      </c>
      <c r="E472" s="152"/>
      <c r="F472" s="152"/>
      <c r="G472" s="152"/>
      <c r="H472" s="180" t="s">
        <v>45</v>
      </c>
      <c r="I472" s="3"/>
    </row>
    <row r="473" spans="1:11" ht="14.4" x14ac:dyDescent="0.3">
      <c r="A473" s="3"/>
      <c r="B473" s="12"/>
      <c r="C473" s="13"/>
      <c r="D473" s="155" t="s">
        <v>9</v>
      </c>
      <c r="E473" s="155"/>
      <c r="F473" s="155"/>
      <c r="G473" s="155"/>
      <c r="H473" s="180"/>
      <c r="I473" s="3"/>
    </row>
    <row r="474" spans="1:11" ht="14.4" x14ac:dyDescent="0.3">
      <c r="A474" s="3"/>
      <c r="B474" s="111" t="s">
        <v>10</v>
      </c>
      <c r="C474" s="113" t="s">
        <v>11</v>
      </c>
      <c r="D474" s="44" t="s">
        <v>12</v>
      </c>
      <c r="E474" s="44" t="s">
        <v>13</v>
      </c>
      <c r="F474" s="44" t="s">
        <v>14</v>
      </c>
      <c r="G474" s="57" t="s">
        <v>15</v>
      </c>
      <c r="H474" s="175" t="s">
        <v>45</v>
      </c>
      <c r="I474" s="3"/>
    </row>
    <row r="475" spans="1:11" ht="14.4" x14ac:dyDescent="0.3">
      <c r="A475" s="3"/>
      <c r="B475" s="111"/>
      <c r="C475" s="113"/>
      <c r="D475" s="165" t="s">
        <v>20</v>
      </c>
      <c r="E475" s="165"/>
      <c r="F475" s="165"/>
      <c r="G475" s="165"/>
      <c r="H475" s="175"/>
      <c r="I475" s="3"/>
    </row>
    <row r="476" spans="1:11" ht="14.4" x14ac:dyDescent="0.3">
      <c r="A476" s="3"/>
      <c r="B476" s="33">
        <v>4</v>
      </c>
      <c r="C476" s="58" t="s">
        <v>21</v>
      </c>
      <c r="D476" s="23">
        <v>0</v>
      </c>
      <c r="E476" s="23">
        <v>0</v>
      </c>
      <c r="F476" s="23">
        <v>0</v>
      </c>
      <c r="G476" s="23">
        <v>0</v>
      </c>
      <c r="H476" s="62" t="s">
        <v>45</v>
      </c>
      <c r="I476" s="3"/>
    </row>
    <row r="477" spans="1:11" ht="14.4" x14ac:dyDescent="0.3">
      <c r="A477" s="3"/>
      <c r="B477" s="63">
        <v>5</v>
      </c>
      <c r="C477" s="64" t="s">
        <v>22</v>
      </c>
      <c r="D477" s="59">
        <v>174590.58</v>
      </c>
      <c r="E477" s="23">
        <v>0</v>
      </c>
      <c r="F477" s="60">
        <f>+E477+D477</f>
        <v>174590.58</v>
      </c>
      <c r="G477" s="61">
        <f>+F477</f>
        <v>174590.58</v>
      </c>
      <c r="H477" s="62" t="s">
        <v>45</v>
      </c>
      <c r="I477" s="3"/>
    </row>
    <row r="478" spans="1:11" ht="14.4" x14ac:dyDescent="0.3">
      <c r="A478" s="3"/>
      <c r="B478" s="63">
        <v>6</v>
      </c>
      <c r="C478" s="64" t="s">
        <v>23</v>
      </c>
      <c r="D478" s="59">
        <v>47440.58</v>
      </c>
      <c r="E478" s="23">
        <v>0</v>
      </c>
      <c r="F478" s="60">
        <f>+E478+D478</f>
        <v>47440.58</v>
      </c>
      <c r="G478" s="61">
        <f>+G477+F478</f>
        <v>222031.15999999997</v>
      </c>
      <c r="H478" s="62" t="s">
        <v>45</v>
      </c>
      <c r="I478" s="3"/>
    </row>
    <row r="479" spans="1:11" ht="14.4" x14ac:dyDescent="0.3">
      <c r="A479" s="3"/>
      <c r="B479" s="63">
        <v>7</v>
      </c>
      <c r="C479" s="64" t="s">
        <v>24</v>
      </c>
      <c r="D479" s="59">
        <v>50859.1</v>
      </c>
      <c r="E479" s="23">
        <v>0</v>
      </c>
      <c r="F479" s="60">
        <f>+E479+D479</f>
        <v>50859.1</v>
      </c>
      <c r="G479" s="61">
        <f>+G478+F479</f>
        <v>272890.25999999995</v>
      </c>
      <c r="H479" s="62" t="s">
        <v>45</v>
      </c>
      <c r="I479" s="3"/>
    </row>
    <row r="480" spans="1:11" ht="14.4" x14ac:dyDescent="0.3">
      <c r="A480" s="3"/>
      <c r="B480" s="33">
        <v>8</v>
      </c>
      <c r="C480" s="31" t="s">
        <v>25</v>
      </c>
      <c r="D480" s="23">
        <v>2954</v>
      </c>
      <c r="E480" s="23">
        <v>0</v>
      </c>
      <c r="F480" s="60">
        <f>+E480+D480</f>
        <v>2954</v>
      </c>
      <c r="G480" s="61">
        <f>+G479+F480</f>
        <v>275844.25999999995</v>
      </c>
      <c r="H480" s="62"/>
      <c r="I480" s="10"/>
      <c r="J480" s="3"/>
      <c r="K480" s="3"/>
    </row>
    <row r="481" spans="2:10" s="3" customFormat="1" ht="14.4" x14ac:dyDescent="0.3">
      <c r="B481" s="33">
        <v>9</v>
      </c>
      <c r="C481" s="31" t="s">
        <v>26</v>
      </c>
      <c r="D481" s="23">
        <v>58657.59</v>
      </c>
      <c r="E481" s="23">
        <v>0</v>
      </c>
      <c r="F481" s="40">
        <f t="shared" ref="F481:F500" si="51">+E481+D481</f>
        <v>58657.59</v>
      </c>
      <c r="G481" s="65">
        <f t="shared" ref="G481:G500" si="52">+G480+F481</f>
        <v>334501.84999999998</v>
      </c>
      <c r="H481" s="62"/>
      <c r="I481" s="35"/>
      <c r="J481" s="35"/>
    </row>
    <row r="482" spans="2:10" s="3" customFormat="1" ht="14.4" x14ac:dyDescent="0.3">
      <c r="B482" s="33">
        <v>10</v>
      </c>
      <c r="C482" s="31" t="s">
        <v>55</v>
      </c>
      <c r="D482" s="23">
        <v>14518.54</v>
      </c>
      <c r="E482" s="23">
        <v>0</v>
      </c>
      <c r="F482" s="40">
        <f t="shared" si="51"/>
        <v>14518.54</v>
      </c>
      <c r="G482" s="65">
        <f t="shared" si="52"/>
        <v>349020.38999999996</v>
      </c>
      <c r="H482" s="62"/>
      <c r="I482" s="35"/>
      <c r="J482" s="35"/>
    </row>
    <row r="483" spans="2:10" s="3" customFormat="1" ht="14.4" x14ac:dyDescent="0.3">
      <c r="B483" s="33">
        <v>11</v>
      </c>
      <c r="C483" s="31" t="s">
        <v>56</v>
      </c>
      <c r="D483" s="23">
        <v>16435.509999999998</v>
      </c>
      <c r="E483" s="23">
        <v>0</v>
      </c>
      <c r="F483" s="40">
        <f t="shared" si="51"/>
        <v>16435.509999999998</v>
      </c>
      <c r="G483" s="65">
        <f t="shared" si="52"/>
        <v>365455.89999999997</v>
      </c>
      <c r="H483" s="62"/>
      <c r="I483" s="35"/>
      <c r="J483" s="35"/>
    </row>
    <row r="484" spans="2:10" s="3" customFormat="1" ht="14.4" x14ac:dyDescent="0.3">
      <c r="B484" s="33">
        <v>12</v>
      </c>
      <c r="C484" s="31" t="s">
        <v>71</v>
      </c>
      <c r="D484" s="23">
        <v>53900.05</v>
      </c>
      <c r="E484" s="23">
        <v>0</v>
      </c>
      <c r="F484" s="40">
        <f t="shared" si="51"/>
        <v>53900.05</v>
      </c>
      <c r="G484" s="65">
        <f t="shared" si="52"/>
        <v>419355.94999999995</v>
      </c>
      <c r="H484" s="62"/>
      <c r="I484" s="35"/>
      <c r="J484" s="35"/>
    </row>
    <row r="485" spans="2:10" s="3" customFormat="1" ht="14.4" x14ac:dyDescent="0.3">
      <c r="B485" s="33">
        <v>13</v>
      </c>
      <c r="C485" s="31" t="s">
        <v>57</v>
      </c>
      <c r="D485" s="23">
        <v>50930.55</v>
      </c>
      <c r="E485" s="23">
        <v>0</v>
      </c>
      <c r="F485" s="40">
        <f t="shared" si="51"/>
        <v>50930.55</v>
      </c>
      <c r="G485" s="65">
        <f t="shared" si="52"/>
        <v>470286.49999999994</v>
      </c>
      <c r="H485" s="62"/>
      <c r="I485" s="35"/>
      <c r="J485" s="35"/>
    </row>
    <row r="486" spans="2:10" s="3" customFormat="1" ht="15.6" customHeight="1" x14ac:dyDescent="0.3">
      <c r="B486" s="33">
        <v>14</v>
      </c>
      <c r="C486" s="49" t="s">
        <v>58</v>
      </c>
      <c r="D486" s="23">
        <v>5113.51</v>
      </c>
      <c r="E486" s="23">
        <v>0</v>
      </c>
      <c r="F486" s="40">
        <f t="shared" si="51"/>
        <v>5113.51</v>
      </c>
      <c r="G486" s="65">
        <f t="shared" si="52"/>
        <v>475400.00999999995</v>
      </c>
      <c r="H486" s="62"/>
      <c r="I486" s="35"/>
      <c r="J486" s="35"/>
    </row>
    <row r="487" spans="2:10" s="3" customFormat="1" ht="14.4" x14ac:dyDescent="0.3">
      <c r="B487" s="33">
        <v>15</v>
      </c>
      <c r="C487" s="31" t="s">
        <v>59</v>
      </c>
      <c r="D487" s="23">
        <v>4110</v>
      </c>
      <c r="E487" s="23">
        <v>0</v>
      </c>
      <c r="F487" s="40">
        <f t="shared" si="51"/>
        <v>4110</v>
      </c>
      <c r="G487" s="65">
        <f t="shared" si="52"/>
        <v>479510.00999999995</v>
      </c>
      <c r="H487" s="62"/>
      <c r="I487" s="35"/>
      <c r="J487" s="35"/>
    </row>
    <row r="488" spans="2:10" s="3" customFormat="1" ht="14.4" x14ac:dyDescent="0.3">
      <c r="B488" s="33">
        <v>16</v>
      </c>
      <c r="C488" s="31" t="s">
        <v>60</v>
      </c>
      <c r="D488" s="23">
        <v>9478</v>
      </c>
      <c r="E488" s="23">
        <v>0</v>
      </c>
      <c r="F488" s="40">
        <f t="shared" si="51"/>
        <v>9478</v>
      </c>
      <c r="G488" s="65">
        <f t="shared" si="52"/>
        <v>488988.00999999995</v>
      </c>
      <c r="H488" s="62"/>
      <c r="I488" s="35"/>
      <c r="J488" s="35"/>
    </row>
    <row r="489" spans="2:10" s="3" customFormat="1" ht="14.4" x14ac:dyDescent="0.3">
      <c r="B489" s="33">
        <v>17</v>
      </c>
      <c r="C489" s="31" t="s">
        <v>61</v>
      </c>
      <c r="D489" s="23">
        <v>59214.02</v>
      </c>
      <c r="E489" s="23">
        <v>0</v>
      </c>
      <c r="F489" s="40">
        <f t="shared" si="51"/>
        <v>59214.02</v>
      </c>
      <c r="G489" s="65">
        <f t="shared" si="52"/>
        <v>548202.02999999991</v>
      </c>
      <c r="H489" s="62"/>
      <c r="I489" s="35"/>
      <c r="J489" s="35"/>
    </row>
    <row r="490" spans="2:10" s="3" customFormat="1" ht="14.4" x14ac:dyDescent="0.3">
      <c r="B490" s="33">
        <v>18</v>
      </c>
      <c r="C490" s="31" t="s">
        <v>62</v>
      </c>
      <c r="D490" s="23">
        <v>975.5</v>
      </c>
      <c r="E490" s="23">
        <v>0</v>
      </c>
      <c r="F490" s="40">
        <f t="shared" si="51"/>
        <v>975.5</v>
      </c>
      <c r="G490" s="65">
        <f t="shared" si="52"/>
        <v>549177.52999999991</v>
      </c>
      <c r="H490" s="62"/>
      <c r="I490" s="35"/>
      <c r="J490" s="35"/>
    </row>
    <row r="491" spans="2:10" s="3" customFormat="1" ht="14.4" x14ac:dyDescent="0.3">
      <c r="B491" s="33">
        <v>19</v>
      </c>
      <c r="C491" s="31" t="s">
        <v>63</v>
      </c>
      <c r="D491" s="23">
        <v>26882</v>
      </c>
      <c r="E491" s="23">
        <v>0</v>
      </c>
      <c r="F491" s="40">
        <f t="shared" si="51"/>
        <v>26882</v>
      </c>
      <c r="G491" s="65">
        <f t="shared" si="52"/>
        <v>576059.52999999991</v>
      </c>
      <c r="H491" s="62"/>
      <c r="I491" s="35"/>
      <c r="J491" s="35"/>
    </row>
    <row r="492" spans="2:10" s="3" customFormat="1" ht="14.4" x14ac:dyDescent="0.3">
      <c r="B492" s="33">
        <v>20</v>
      </c>
      <c r="C492" s="31" t="s">
        <v>64</v>
      </c>
      <c r="D492" s="23">
        <v>1280.5</v>
      </c>
      <c r="E492" s="23">
        <v>0</v>
      </c>
      <c r="F492" s="40">
        <f t="shared" si="51"/>
        <v>1280.5</v>
      </c>
      <c r="G492" s="65">
        <f t="shared" si="52"/>
        <v>577340.02999999991</v>
      </c>
      <c r="H492" s="62"/>
      <c r="I492" s="35"/>
      <c r="J492" s="35"/>
    </row>
    <row r="493" spans="2:10" s="3" customFormat="1" ht="14.4" x14ac:dyDescent="0.3">
      <c r="B493" s="33">
        <v>21</v>
      </c>
      <c r="C493" s="31" t="s">
        <v>65</v>
      </c>
      <c r="D493" s="23">
        <v>0</v>
      </c>
      <c r="E493" s="23">
        <v>0</v>
      </c>
      <c r="F493" s="40">
        <f t="shared" si="51"/>
        <v>0</v>
      </c>
      <c r="G493" s="65">
        <f t="shared" si="52"/>
        <v>577340.02999999991</v>
      </c>
      <c r="H493" s="62"/>
      <c r="I493" s="35"/>
      <c r="J493" s="35"/>
    </row>
    <row r="494" spans="2:10" s="3" customFormat="1" ht="14.4" x14ac:dyDescent="0.3">
      <c r="B494" s="33">
        <v>22</v>
      </c>
      <c r="C494" s="31" t="s">
        <v>66</v>
      </c>
      <c r="D494" s="23">
        <v>31932.5</v>
      </c>
      <c r="E494" s="23">
        <v>0</v>
      </c>
      <c r="F494" s="40">
        <f t="shared" si="51"/>
        <v>31932.5</v>
      </c>
      <c r="G494" s="65">
        <f t="shared" si="52"/>
        <v>609272.52999999991</v>
      </c>
      <c r="H494" s="62"/>
      <c r="I494" s="35"/>
      <c r="J494" s="35"/>
    </row>
    <row r="495" spans="2:10" s="3" customFormat="1" ht="13.8" customHeight="1" x14ac:dyDescent="0.3">
      <c r="B495" s="33">
        <v>23</v>
      </c>
      <c r="C495" s="31" t="s">
        <v>67</v>
      </c>
      <c r="D495" s="23">
        <v>0</v>
      </c>
      <c r="E495" s="23">
        <v>0</v>
      </c>
      <c r="F495" s="40">
        <f t="shared" si="51"/>
        <v>0</v>
      </c>
      <c r="G495" s="65">
        <f t="shared" si="52"/>
        <v>609272.52999999991</v>
      </c>
      <c r="H495" s="62"/>
      <c r="I495" s="35"/>
      <c r="J495" s="35"/>
    </row>
    <row r="496" spans="2:10" s="3" customFormat="1" ht="14.4" x14ac:dyDescent="0.3">
      <c r="B496" s="33">
        <v>24</v>
      </c>
      <c r="C496" s="31" t="s">
        <v>68</v>
      </c>
      <c r="D496" s="23">
        <v>0</v>
      </c>
      <c r="E496" s="23">
        <v>0</v>
      </c>
      <c r="F496" s="40">
        <f t="shared" si="51"/>
        <v>0</v>
      </c>
      <c r="G496" s="65">
        <f t="shared" si="52"/>
        <v>609272.52999999991</v>
      </c>
      <c r="H496" s="62"/>
      <c r="I496" s="35"/>
      <c r="J496" s="35"/>
    </row>
    <row r="497" spans="1:12" s="3" customFormat="1" ht="14.4" x14ac:dyDescent="0.3">
      <c r="B497" s="33">
        <v>25</v>
      </c>
      <c r="C497" s="67" t="s">
        <v>69</v>
      </c>
      <c r="D497" s="23">
        <v>0</v>
      </c>
      <c r="E497" s="23">
        <v>0</v>
      </c>
      <c r="F497" s="40">
        <f t="shared" si="51"/>
        <v>0</v>
      </c>
      <c r="G497" s="65">
        <f t="shared" si="52"/>
        <v>609272.52999999991</v>
      </c>
      <c r="H497" s="62"/>
      <c r="I497" s="35"/>
      <c r="J497" s="35"/>
    </row>
    <row r="498" spans="1:12" s="3" customFormat="1" ht="14.4" x14ac:dyDescent="0.3">
      <c r="B498" s="33">
        <v>26</v>
      </c>
      <c r="C498" s="67" t="s">
        <v>70</v>
      </c>
      <c r="D498" s="94">
        <v>0</v>
      </c>
      <c r="E498" s="95">
        <v>0</v>
      </c>
      <c r="F498" s="96">
        <f t="shared" si="51"/>
        <v>0</v>
      </c>
      <c r="G498" s="98">
        <f t="shared" si="52"/>
        <v>609272.52999999991</v>
      </c>
      <c r="H498" s="62"/>
      <c r="I498" s="35"/>
      <c r="J498" s="35"/>
    </row>
    <row r="499" spans="1:12" s="3" customFormat="1" ht="14.4" x14ac:dyDescent="0.3">
      <c r="B499" s="33">
        <v>27</v>
      </c>
      <c r="C499" s="31" t="s">
        <v>79</v>
      </c>
      <c r="D499" s="18">
        <v>0</v>
      </c>
      <c r="E499" s="18">
        <v>0</v>
      </c>
      <c r="F499" s="36">
        <f t="shared" si="51"/>
        <v>0</v>
      </c>
      <c r="G499" s="84">
        <f t="shared" si="52"/>
        <v>609272.52999999991</v>
      </c>
      <c r="H499" s="62"/>
      <c r="I499" s="35"/>
      <c r="J499" s="35"/>
    </row>
    <row r="500" spans="1:12" s="3" customFormat="1" ht="13.2" customHeight="1" x14ac:dyDescent="0.3">
      <c r="B500" s="33">
        <v>28</v>
      </c>
      <c r="C500" s="67" t="s">
        <v>80</v>
      </c>
      <c r="D500" s="23">
        <v>0</v>
      </c>
      <c r="E500" s="23">
        <v>-100966</v>
      </c>
      <c r="F500" s="40">
        <f t="shared" si="51"/>
        <v>-100966</v>
      </c>
      <c r="G500" s="65">
        <f t="shared" si="52"/>
        <v>508306.52999999991</v>
      </c>
      <c r="H500" s="62"/>
      <c r="I500" s="35"/>
      <c r="J500" s="35"/>
    </row>
    <row r="501" spans="1:12" s="3" customFormat="1" ht="13.2" customHeight="1" x14ac:dyDescent="0.3">
      <c r="B501" s="33">
        <v>29</v>
      </c>
      <c r="C501" s="67" t="s">
        <v>81</v>
      </c>
      <c r="D501" s="23">
        <v>0</v>
      </c>
      <c r="E501" s="23">
        <v>0</v>
      </c>
      <c r="F501" s="40">
        <f t="shared" ref="F501:F505" si="53">+E501+D501</f>
        <v>0</v>
      </c>
      <c r="G501" s="65">
        <f t="shared" ref="G501:G504" si="54">+G500+F501</f>
        <v>508306.52999999991</v>
      </c>
      <c r="H501" s="62"/>
      <c r="I501" s="35"/>
      <c r="J501" s="35"/>
    </row>
    <row r="502" spans="1:12" s="3" customFormat="1" ht="13.2" customHeight="1" x14ac:dyDescent="0.3">
      <c r="B502" s="33">
        <v>30</v>
      </c>
      <c r="C502" s="67" t="s">
        <v>82</v>
      </c>
      <c r="D502" s="23">
        <v>0</v>
      </c>
      <c r="E502" s="23">
        <v>0</v>
      </c>
      <c r="F502" s="40">
        <f t="shared" si="53"/>
        <v>0</v>
      </c>
      <c r="G502" s="65">
        <f t="shared" si="54"/>
        <v>508306.52999999991</v>
      </c>
      <c r="H502" s="62"/>
      <c r="I502" s="35"/>
      <c r="J502" s="35"/>
    </row>
    <row r="503" spans="1:12" s="3" customFormat="1" ht="13.2" customHeight="1" x14ac:dyDescent="0.3">
      <c r="B503" s="33">
        <v>31</v>
      </c>
      <c r="C503" s="67" t="s">
        <v>83</v>
      </c>
      <c r="D503" s="23">
        <v>0</v>
      </c>
      <c r="E503" s="23">
        <v>0</v>
      </c>
      <c r="F503" s="40">
        <f t="shared" si="53"/>
        <v>0</v>
      </c>
      <c r="G503" s="65">
        <f t="shared" si="54"/>
        <v>508306.52999999991</v>
      </c>
      <c r="H503" s="62"/>
      <c r="I503" s="35"/>
      <c r="J503" s="35"/>
    </row>
    <row r="504" spans="1:12" s="3" customFormat="1" ht="13.2" customHeight="1" x14ac:dyDescent="0.3">
      <c r="B504" s="33">
        <v>32</v>
      </c>
      <c r="C504" s="67" t="s">
        <v>84</v>
      </c>
      <c r="D504" s="23">
        <v>0</v>
      </c>
      <c r="E504" s="23">
        <v>0</v>
      </c>
      <c r="F504" s="40">
        <f t="shared" si="53"/>
        <v>0</v>
      </c>
      <c r="G504" s="65">
        <f t="shared" si="54"/>
        <v>508306.52999999991</v>
      </c>
      <c r="H504" s="62"/>
      <c r="I504" s="35"/>
      <c r="J504" s="35"/>
    </row>
    <row r="505" spans="1:12" s="3" customFormat="1" ht="14.4" x14ac:dyDescent="0.3">
      <c r="B505" s="33">
        <v>33</v>
      </c>
      <c r="C505" s="67" t="s">
        <v>85</v>
      </c>
      <c r="D505" s="23">
        <v>0</v>
      </c>
      <c r="E505" s="23">
        <v>0</v>
      </c>
      <c r="F505" s="40">
        <f t="shared" si="53"/>
        <v>0</v>
      </c>
      <c r="G505" s="65">
        <f>+G504+F505</f>
        <v>508306.52999999991</v>
      </c>
      <c r="H505" s="62"/>
      <c r="I505" s="35"/>
      <c r="J505" s="35"/>
    </row>
    <row r="506" spans="1:12" s="3" customFormat="1" ht="14.4" x14ac:dyDescent="0.3">
      <c r="B506" s="33">
        <v>34</v>
      </c>
      <c r="C506" s="67" t="s">
        <v>87</v>
      </c>
      <c r="D506" s="23">
        <v>0</v>
      </c>
      <c r="E506" s="23">
        <v>0</v>
      </c>
      <c r="F506" s="40">
        <v>0</v>
      </c>
      <c r="G506" s="23">
        <f>+G505+F506</f>
        <v>508306.52999999991</v>
      </c>
      <c r="H506" s="62"/>
      <c r="I506" s="35"/>
      <c r="J506" s="10"/>
      <c r="K506" s="1"/>
      <c r="L506" s="32"/>
    </row>
    <row r="507" spans="1:12" s="3" customFormat="1" ht="14.4" x14ac:dyDescent="0.3">
      <c r="B507" s="33">
        <v>35</v>
      </c>
      <c r="C507" s="67" t="s">
        <v>86</v>
      </c>
      <c r="D507" s="23">
        <v>0</v>
      </c>
      <c r="E507" s="23">
        <v>0</v>
      </c>
      <c r="F507" s="40">
        <f>+E507+D507</f>
        <v>0</v>
      </c>
      <c r="G507" s="40">
        <f>+G506+F507</f>
        <v>508306.52999999991</v>
      </c>
      <c r="H507" s="62"/>
      <c r="I507" s="35"/>
      <c r="J507" s="10"/>
      <c r="K507" s="1"/>
      <c r="L507" s="32"/>
    </row>
    <row r="508" spans="1:12" ht="14.4" x14ac:dyDescent="0.3">
      <c r="A508" s="3"/>
      <c r="B508" s="5" t="s">
        <v>45</v>
      </c>
      <c r="C508" s="68" t="s">
        <v>45</v>
      </c>
      <c r="D508" s="69" t="s">
        <v>45</v>
      </c>
      <c r="E508" s="69" t="s">
        <v>45</v>
      </c>
      <c r="F508" s="69" t="s">
        <v>45</v>
      </c>
      <c r="G508" s="69" t="s">
        <v>45</v>
      </c>
      <c r="H508" s="6" t="s">
        <v>45</v>
      </c>
      <c r="I508" s="3"/>
    </row>
    <row r="509" spans="1:12" ht="14.4" x14ac:dyDescent="0.3">
      <c r="A509" s="3"/>
      <c r="B509" s="8" t="s">
        <v>27</v>
      </c>
      <c r="C509" s="70"/>
      <c r="D509" s="69" t="s">
        <v>45</v>
      </c>
      <c r="E509" s="69" t="s">
        <v>45</v>
      </c>
      <c r="F509" s="69" t="s">
        <v>45</v>
      </c>
      <c r="G509" s="69" t="s">
        <v>45</v>
      </c>
      <c r="H509" s="6" t="s">
        <v>45</v>
      </c>
      <c r="I509" s="3"/>
    </row>
    <row r="510" spans="1:12" ht="14.4" x14ac:dyDescent="0.3">
      <c r="A510" s="3"/>
      <c r="B510" s="9" t="s">
        <v>28</v>
      </c>
      <c r="C510" s="5"/>
      <c r="D510" s="6"/>
      <c r="E510" s="6"/>
      <c r="F510" s="71"/>
      <c r="G510" s="71"/>
      <c r="H510" s="72"/>
      <c r="I510" s="3"/>
    </row>
    <row r="511" spans="1:12" ht="14.4" x14ac:dyDescent="0.3">
      <c r="A511" s="3"/>
      <c r="B511" s="9" t="s">
        <v>29</v>
      </c>
      <c r="C511" s="5"/>
      <c r="D511" s="6"/>
      <c r="E511" s="6"/>
      <c r="F511" s="71"/>
      <c r="G511" s="69" t="s">
        <v>45</v>
      </c>
      <c r="H511" s="6" t="s">
        <v>45</v>
      </c>
      <c r="I511" s="3"/>
    </row>
    <row r="512" spans="1:12" ht="14.4" x14ac:dyDescent="0.3">
      <c r="A512" s="3"/>
      <c r="B512" s="9" t="s">
        <v>30</v>
      </c>
      <c r="C512" s="5"/>
      <c r="D512" s="6"/>
      <c r="E512" s="6"/>
      <c r="F512" s="69" t="s">
        <v>45</v>
      </c>
      <c r="G512" s="69" t="s">
        <v>45</v>
      </c>
      <c r="H512" s="6" t="s">
        <v>45</v>
      </c>
      <c r="I512" s="3"/>
    </row>
    <row r="513" spans="1:11" ht="14.4" x14ac:dyDescent="0.3">
      <c r="A513" s="3"/>
      <c r="B513" s="3"/>
      <c r="C513" s="54"/>
      <c r="D513" s="55"/>
      <c r="E513" s="55"/>
      <c r="F513" s="55"/>
      <c r="G513" s="55"/>
      <c r="H513" s="32"/>
      <c r="I513" s="3"/>
    </row>
    <row r="514" spans="1:11" ht="14.4" x14ac:dyDescent="0.3">
      <c r="A514" s="3"/>
      <c r="B514" s="3"/>
      <c r="C514" s="54"/>
      <c r="D514" s="55"/>
      <c r="E514" s="55"/>
      <c r="F514" s="55"/>
      <c r="G514" s="55"/>
      <c r="H514" s="32"/>
      <c r="I514" s="3"/>
    </row>
    <row r="515" spans="1:11" ht="18" x14ac:dyDescent="0.35">
      <c r="A515" s="3"/>
      <c r="C515" s="73"/>
      <c r="D515" s="177" t="s">
        <v>34</v>
      </c>
      <c r="E515" s="177"/>
      <c r="F515" s="177"/>
      <c r="G515" s="177"/>
      <c r="H515" s="177"/>
      <c r="I515" s="3"/>
    </row>
    <row r="516" spans="1:11" ht="15.6" x14ac:dyDescent="0.3">
      <c r="A516" s="28"/>
      <c r="B516" s="24" t="s">
        <v>45</v>
      </c>
      <c r="C516" s="74" t="s">
        <v>45</v>
      </c>
      <c r="D516" s="178" t="s">
        <v>50</v>
      </c>
      <c r="E516" s="178"/>
      <c r="F516" s="178"/>
      <c r="G516" s="178"/>
      <c r="H516" s="178"/>
      <c r="I516" s="28"/>
    </row>
    <row r="517" spans="1:11" ht="15.9" customHeight="1" x14ac:dyDescent="0.3">
      <c r="A517" s="3"/>
      <c r="B517" s="132" t="s">
        <v>89</v>
      </c>
      <c r="C517" s="132"/>
      <c r="D517" s="132"/>
      <c r="E517" s="132"/>
      <c r="F517" s="132"/>
      <c r="G517" s="132"/>
      <c r="H517" s="132"/>
      <c r="I517" s="3"/>
    </row>
    <row r="518" spans="1:11" ht="14.4" x14ac:dyDescent="0.3">
      <c r="A518" s="3"/>
      <c r="B518" s="14"/>
      <c r="C518" s="15"/>
      <c r="D518" s="152" t="s">
        <v>6</v>
      </c>
      <c r="E518" s="152"/>
      <c r="F518" s="152"/>
      <c r="G518" s="152"/>
      <c r="H518" s="180" t="s">
        <v>45</v>
      </c>
      <c r="I518" s="3"/>
    </row>
    <row r="519" spans="1:11" ht="14.4" x14ac:dyDescent="0.3">
      <c r="A519" s="3"/>
      <c r="B519" s="12"/>
      <c r="C519" s="13"/>
      <c r="D519" s="155" t="s">
        <v>9</v>
      </c>
      <c r="E519" s="155"/>
      <c r="F519" s="155"/>
      <c r="G519" s="155"/>
      <c r="H519" s="180"/>
      <c r="I519" s="3"/>
    </row>
    <row r="520" spans="1:11" ht="14.4" x14ac:dyDescent="0.3">
      <c r="A520" s="3"/>
      <c r="B520" s="111" t="s">
        <v>10</v>
      </c>
      <c r="C520" s="113" t="s">
        <v>11</v>
      </c>
      <c r="D520" s="44" t="s">
        <v>12</v>
      </c>
      <c r="E520" s="44" t="s">
        <v>13</v>
      </c>
      <c r="F520" s="44" t="s">
        <v>14</v>
      </c>
      <c r="G520" s="57" t="s">
        <v>15</v>
      </c>
      <c r="H520" s="175" t="s">
        <v>45</v>
      </c>
      <c r="I520" s="3"/>
    </row>
    <row r="521" spans="1:11" ht="14.4" x14ac:dyDescent="0.3">
      <c r="A521" s="3"/>
      <c r="B521" s="111"/>
      <c r="C521" s="113"/>
      <c r="D521" s="165" t="s">
        <v>20</v>
      </c>
      <c r="E521" s="165"/>
      <c r="F521" s="165"/>
      <c r="G521" s="165"/>
      <c r="H521" s="175"/>
      <c r="I521" s="3"/>
    </row>
    <row r="522" spans="1:11" ht="14.4" x14ac:dyDescent="0.3">
      <c r="A522" s="3"/>
      <c r="B522" s="33">
        <v>4</v>
      </c>
      <c r="C522" s="58" t="s">
        <v>21</v>
      </c>
      <c r="D522" s="59">
        <v>38139</v>
      </c>
      <c r="E522" s="23">
        <v>0</v>
      </c>
      <c r="F522" s="60">
        <f>+E522+D522</f>
        <v>38139</v>
      </c>
      <c r="G522" s="61">
        <f>+F522</f>
        <v>38139</v>
      </c>
      <c r="H522" s="62" t="s">
        <v>45</v>
      </c>
      <c r="I522" s="3"/>
    </row>
    <row r="523" spans="1:11" ht="14.4" x14ac:dyDescent="0.3">
      <c r="A523" s="3"/>
      <c r="B523" s="63">
        <v>5</v>
      </c>
      <c r="C523" s="64" t="s">
        <v>22</v>
      </c>
      <c r="D523" s="59">
        <v>27658.04</v>
      </c>
      <c r="E523" s="23">
        <v>0</v>
      </c>
      <c r="F523" s="60">
        <f>+E523+D523</f>
        <v>27658.04</v>
      </c>
      <c r="G523" s="61">
        <f>+G522+F523</f>
        <v>65797.040000000008</v>
      </c>
      <c r="H523" s="62" t="s">
        <v>45</v>
      </c>
      <c r="I523" s="3"/>
    </row>
    <row r="524" spans="1:11" ht="14.4" x14ac:dyDescent="0.3">
      <c r="A524" s="3"/>
      <c r="B524" s="63">
        <v>6</v>
      </c>
      <c r="C524" s="64" t="s">
        <v>23</v>
      </c>
      <c r="D524" s="59">
        <v>25678.6</v>
      </c>
      <c r="E524" s="23">
        <v>0</v>
      </c>
      <c r="F524" s="60">
        <f>+E524+D524</f>
        <v>25678.6</v>
      </c>
      <c r="G524" s="61">
        <f>+G523+F524</f>
        <v>91475.640000000014</v>
      </c>
      <c r="H524" s="62" t="s">
        <v>45</v>
      </c>
      <c r="I524" s="3"/>
    </row>
    <row r="525" spans="1:11" ht="14.4" x14ac:dyDescent="0.3">
      <c r="A525" s="3"/>
      <c r="B525" s="63">
        <v>7</v>
      </c>
      <c r="C525" s="64" t="s">
        <v>24</v>
      </c>
      <c r="D525" s="59">
        <v>15368.53</v>
      </c>
      <c r="E525" s="23">
        <v>0</v>
      </c>
      <c r="F525" s="60">
        <f>+E525+D525</f>
        <v>15368.53</v>
      </c>
      <c r="G525" s="61">
        <f>+G524+F525</f>
        <v>106844.17000000001</v>
      </c>
      <c r="H525" s="62" t="s">
        <v>45</v>
      </c>
      <c r="I525" s="3"/>
    </row>
    <row r="526" spans="1:11" ht="14.4" x14ac:dyDescent="0.3">
      <c r="A526" s="3"/>
      <c r="B526" s="33">
        <v>8</v>
      </c>
      <c r="C526" s="31" t="s">
        <v>25</v>
      </c>
      <c r="D526" s="23">
        <v>59791.67</v>
      </c>
      <c r="E526" s="23">
        <v>0</v>
      </c>
      <c r="F526" s="60">
        <f>+E526+D526</f>
        <v>59791.67</v>
      </c>
      <c r="G526" s="61">
        <f>+G525+F526</f>
        <v>166635.84000000003</v>
      </c>
      <c r="H526" s="62"/>
      <c r="I526" s="10"/>
      <c r="J526" s="3"/>
      <c r="K526" s="3"/>
    </row>
    <row r="527" spans="1:11" s="3" customFormat="1" ht="14.4" x14ac:dyDescent="0.3">
      <c r="B527" s="33">
        <v>9</v>
      </c>
      <c r="C527" s="31" t="s">
        <v>26</v>
      </c>
      <c r="D527" s="23">
        <v>63372.02</v>
      </c>
      <c r="E527" s="23">
        <v>0</v>
      </c>
      <c r="F527" s="40">
        <f t="shared" ref="F527:F546" si="55">+E527+D527</f>
        <v>63372.02</v>
      </c>
      <c r="G527" s="65">
        <f t="shared" ref="G527:G546" si="56">+G526+F527</f>
        <v>230007.86000000002</v>
      </c>
      <c r="H527" s="62"/>
      <c r="I527" s="35"/>
      <c r="J527" s="35"/>
    </row>
    <row r="528" spans="1:11" s="3" customFormat="1" ht="14.4" x14ac:dyDescent="0.3">
      <c r="B528" s="33">
        <v>10</v>
      </c>
      <c r="C528" s="31" t="s">
        <v>55</v>
      </c>
      <c r="D528" s="23">
        <v>24952.55</v>
      </c>
      <c r="E528" s="23">
        <v>0</v>
      </c>
      <c r="F528" s="40">
        <f t="shared" si="55"/>
        <v>24952.55</v>
      </c>
      <c r="G528" s="65">
        <f t="shared" si="56"/>
        <v>254960.41</v>
      </c>
      <c r="H528" s="62"/>
      <c r="I528" s="35"/>
      <c r="J528" s="35"/>
    </row>
    <row r="529" spans="2:10" s="3" customFormat="1" ht="14.4" x14ac:dyDescent="0.3">
      <c r="B529" s="33">
        <v>11</v>
      </c>
      <c r="C529" s="31" t="s">
        <v>56</v>
      </c>
      <c r="D529" s="23">
        <v>37250.04</v>
      </c>
      <c r="E529" s="23">
        <v>0</v>
      </c>
      <c r="F529" s="40">
        <f t="shared" si="55"/>
        <v>37250.04</v>
      </c>
      <c r="G529" s="65">
        <f>+G528+F529</f>
        <v>292210.45</v>
      </c>
      <c r="H529" s="62"/>
      <c r="I529" s="35"/>
      <c r="J529" s="35"/>
    </row>
    <row r="530" spans="2:10" s="3" customFormat="1" ht="14.4" x14ac:dyDescent="0.3">
      <c r="B530" s="33">
        <v>12</v>
      </c>
      <c r="C530" s="31" t="s">
        <v>71</v>
      </c>
      <c r="D530" s="23">
        <v>16644.5</v>
      </c>
      <c r="E530" s="23">
        <v>0</v>
      </c>
      <c r="F530" s="40">
        <f t="shared" si="55"/>
        <v>16644.5</v>
      </c>
      <c r="G530" s="65">
        <f t="shared" si="56"/>
        <v>308854.95</v>
      </c>
      <c r="H530" s="62"/>
      <c r="I530" s="35"/>
      <c r="J530" s="35"/>
    </row>
    <row r="531" spans="2:10" s="3" customFormat="1" ht="14.4" x14ac:dyDescent="0.3">
      <c r="B531" s="33">
        <v>13</v>
      </c>
      <c r="C531" s="31" t="s">
        <v>57</v>
      </c>
      <c r="D531" s="23">
        <v>8598.4500000000007</v>
      </c>
      <c r="E531" s="23">
        <v>0</v>
      </c>
      <c r="F531" s="40">
        <f t="shared" si="55"/>
        <v>8598.4500000000007</v>
      </c>
      <c r="G531" s="65">
        <f t="shared" si="56"/>
        <v>317453.40000000002</v>
      </c>
      <c r="H531" s="62"/>
      <c r="I531" s="35"/>
      <c r="J531" s="35"/>
    </row>
    <row r="532" spans="2:10" s="3" customFormat="1" ht="16.2" customHeight="1" x14ac:dyDescent="0.3">
      <c r="B532" s="33">
        <v>14</v>
      </c>
      <c r="C532" s="49" t="s">
        <v>58</v>
      </c>
      <c r="D532" s="23">
        <v>14323.51</v>
      </c>
      <c r="E532" s="23">
        <v>0</v>
      </c>
      <c r="F532" s="40">
        <f t="shared" si="55"/>
        <v>14323.51</v>
      </c>
      <c r="G532" s="65">
        <f t="shared" si="56"/>
        <v>331776.91000000003</v>
      </c>
      <c r="H532" s="62"/>
      <c r="I532" s="35"/>
      <c r="J532" s="35"/>
    </row>
    <row r="533" spans="2:10" s="3" customFormat="1" ht="14.4" x14ac:dyDescent="0.3">
      <c r="B533" s="33">
        <v>15</v>
      </c>
      <c r="C533" s="31" t="s">
        <v>59</v>
      </c>
      <c r="D533" s="23">
        <v>3155.09</v>
      </c>
      <c r="E533" s="23">
        <v>0</v>
      </c>
      <c r="F533" s="40">
        <f t="shared" si="55"/>
        <v>3155.09</v>
      </c>
      <c r="G533" s="65">
        <f t="shared" si="56"/>
        <v>334932.00000000006</v>
      </c>
      <c r="H533" s="62"/>
      <c r="I533" s="35"/>
      <c r="J533" s="35"/>
    </row>
    <row r="534" spans="2:10" s="3" customFormat="1" ht="15.6" customHeight="1" x14ac:dyDescent="0.3">
      <c r="B534" s="33">
        <v>16</v>
      </c>
      <c r="C534" s="31" t="s">
        <v>60</v>
      </c>
      <c r="D534" s="23">
        <v>4399</v>
      </c>
      <c r="E534" s="23">
        <v>0</v>
      </c>
      <c r="F534" s="40">
        <f t="shared" si="55"/>
        <v>4399</v>
      </c>
      <c r="G534" s="65">
        <f t="shared" si="56"/>
        <v>339331.00000000006</v>
      </c>
      <c r="H534" s="62"/>
      <c r="I534" s="35"/>
      <c r="J534" s="35"/>
    </row>
    <row r="535" spans="2:10" s="3" customFormat="1" ht="15.6" customHeight="1" x14ac:dyDescent="0.3">
      <c r="B535" s="33">
        <v>17</v>
      </c>
      <c r="C535" s="31" t="s">
        <v>61</v>
      </c>
      <c r="D535" s="23">
        <v>0</v>
      </c>
      <c r="E535" s="23">
        <v>0</v>
      </c>
      <c r="F535" s="40">
        <f t="shared" si="55"/>
        <v>0</v>
      </c>
      <c r="G535" s="65">
        <f t="shared" si="56"/>
        <v>339331.00000000006</v>
      </c>
      <c r="H535" s="62"/>
      <c r="I535" s="35"/>
      <c r="J535" s="35"/>
    </row>
    <row r="536" spans="2:10" s="3" customFormat="1" ht="15.6" customHeight="1" x14ac:dyDescent="0.3">
      <c r="B536" s="33">
        <v>18</v>
      </c>
      <c r="C536" s="31" t="s">
        <v>62</v>
      </c>
      <c r="D536" s="23">
        <v>0</v>
      </c>
      <c r="E536" s="23">
        <v>0</v>
      </c>
      <c r="F536" s="40">
        <f t="shared" si="55"/>
        <v>0</v>
      </c>
      <c r="G536" s="65">
        <f t="shared" si="56"/>
        <v>339331.00000000006</v>
      </c>
      <c r="H536" s="62"/>
      <c r="I536" s="35"/>
      <c r="J536" s="35"/>
    </row>
    <row r="537" spans="2:10" s="3" customFormat="1" ht="15.6" customHeight="1" x14ac:dyDescent="0.3">
      <c r="B537" s="33">
        <v>19</v>
      </c>
      <c r="C537" s="31" t="s">
        <v>63</v>
      </c>
      <c r="D537" s="23">
        <v>0</v>
      </c>
      <c r="E537" s="23">
        <v>0</v>
      </c>
      <c r="F537" s="40">
        <f t="shared" si="55"/>
        <v>0</v>
      </c>
      <c r="G537" s="65">
        <f t="shared" si="56"/>
        <v>339331.00000000006</v>
      </c>
      <c r="H537" s="62"/>
      <c r="I537" s="35"/>
      <c r="J537" s="35"/>
    </row>
    <row r="538" spans="2:10" s="3" customFormat="1" ht="15.6" customHeight="1" x14ac:dyDescent="0.3">
      <c r="B538" s="33">
        <v>20</v>
      </c>
      <c r="C538" s="31" t="s">
        <v>64</v>
      </c>
      <c r="D538" s="23">
        <v>0</v>
      </c>
      <c r="E538" s="23">
        <v>0</v>
      </c>
      <c r="F538" s="40">
        <f t="shared" si="55"/>
        <v>0</v>
      </c>
      <c r="G538" s="65">
        <f t="shared" si="56"/>
        <v>339331.00000000006</v>
      </c>
      <c r="H538" s="62"/>
      <c r="I538" s="35"/>
      <c r="J538" s="35"/>
    </row>
    <row r="539" spans="2:10" s="3" customFormat="1" ht="15.6" customHeight="1" x14ac:dyDescent="0.3">
      <c r="B539" s="33">
        <v>21</v>
      </c>
      <c r="C539" s="31" t="s">
        <v>65</v>
      </c>
      <c r="D539" s="23">
        <v>0</v>
      </c>
      <c r="E539" s="23">
        <v>0</v>
      </c>
      <c r="F539" s="40">
        <f t="shared" si="55"/>
        <v>0</v>
      </c>
      <c r="G539" s="65">
        <f t="shared" si="56"/>
        <v>339331.00000000006</v>
      </c>
      <c r="H539" s="62"/>
      <c r="I539" s="35"/>
      <c r="J539" s="35"/>
    </row>
    <row r="540" spans="2:10" s="3" customFormat="1" ht="15.6" customHeight="1" x14ac:dyDescent="0.3">
      <c r="B540" s="33">
        <v>22</v>
      </c>
      <c r="C540" s="31" t="s">
        <v>66</v>
      </c>
      <c r="D540" s="23">
        <v>0</v>
      </c>
      <c r="E540" s="23">
        <v>0</v>
      </c>
      <c r="F540" s="40">
        <f t="shared" si="55"/>
        <v>0</v>
      </c>
      <c r="G540" s="65">
        <f t="shared" si="56"/>
        <v>339331.00000000006</v>
      </c>
      <c r="H540" s="62"/>
      <c r="I540" s="35"/>
      <c r="J540" s="35"/>
    </row>
    <row r="541" spans="2:10" s="3" customFormat="1" ht="15.6" customHeight="1" x14ac:dyDescent="0.3">
      <c r="B541" s="33">
        <v>23</v>
      </c>
      <c r="C541" s="31" t="s">
        <v>67</v>
      </c>
      <c r="D541" s="23">
        <v>0</v>
      </c>
      <c r="E541" s="23">
        <v>0</v>
      </c>
      <c r="F541" s="40">
        <f t="shared" si="55"/>
        <v>0</v>
      </c>
      <c r="G541" s="65">
        <f t="shared" si="56"/>
        <v>339331.00000000006</v>
      </c>
      <c r="H541" s="62"/>
      <c r="I541" s="35"/>
      <c r="J541" s="35"/>
    </row>
    <row r="542" spans="2:10" s="3" customFormat="1" ht="15.6" customHeight="1" x14ac:dyDescent="0.3">
      <c r="B542" s="33">
        <v>24</v>
      </c>
      <c r="C542" s="31" t="s">
        <v>68</v>
      </c>
      <c r="D542" s="23">
        <v>0</v>
      </c>
      <c r="E542" s="23">
        <v>0</v>
      </c>
      <c r="F542" s="40">
        <f t="shared" si="55"/>
        <v>0</v>
      </c>
      <c r="G542" s="65">
        <f t="shared" si="56"/>
        <v>339331.00000000006</v>
      </c>
      <c r="H542" s="62"/>
      <c r="I542" s="35"/>
      <c r="J542" s="35"/>
    </row>
    <row r="543" spans="2:10" s="3" customFormat="1" ht="15.6" customHeight="1" x14ac:dyDescent="0.3">
      <c r="B543" s="33">
        <v>25</v>
      </c>
      <c r="C543" s="67" t="s">
        <v>69</v>
      </c>
      <c r="D543" s="23">
        <v>0</v>
      </c>
      <c r="E543" s="23">
        <v>0</v>
      </c>
      <c r="F543" s="40">
        <f t="shared" si="55"/>
        <v>0</v>
      </c>
      <c r="G543" s="65">
        <f t="shared" si="56"/>
        <v>339331.00000000006</v>
      </c>
      <c r="H543" s="62"/>
      <c r="I543" s="35"/>
      <c r="J543" s="35"/>
    </row>
    <row r="544" spans="2:10" s="3" customFormat="1" ht="15.6" customHeight="1" x14ac:dyDescent="0.3">
      <c r="B544" s="33">
        <v>26</v>
      </c>
      <c r="C544" s="67" t="s">
        <v>70</v>
      </c>
      <c r="D544" s="94">
        <v>0</v>
      </c>
      <c r="E544" s="95">
        <v>0</v>
      </c>
      <c r="F544" s="96">
        <f t="shared" si="55"/>
        <v>0</v>
      </c>
      <c r="G544" s="98">
        <f t="shared" si="56"/>
        <v>339331.00000000006</v>
      </c>
      <c r="H544" s="62"/>
      <c r="I544" s="35"/>
      <c r="J544" s="35"/>
    </row>
    <row r="545" spans="1:12" s="3" customFormat="1" ht="14.4" x14ac:dyDescent="0.3">
      <c r="B545" s="33">
        <v>27</v>
      </c>
      <c r="C545" s="31" t="s">
        <v>79</v>
      </c>
      <c r="D545" s="18">
        <v>0</v>
      </c>
      <c r="E545" s="18">
        <v>0</v>
      </c>
      <c r="F545" s="36">
        <f t="shared" si="55"/>
        <v>0</v>
      </c>
      <c r="G545" s="84">
        <f t="shared" si="56"/>
        <v>339331.00000000006</v>
      </c>
      <c r="H545" s="62"/>
      <c r="I545" s="35"/>
      <c r="J545" s="35"/>
    </row>
    <row r="546" spans="1:12" s="3" customFormat="1" ht="13.2" customHeight="1" x14ac:dyDescent="0.3">
      <c r="B546" s="33">
        <v>28</v>
      </c>
      <c r="C546" s="67" t="s">
        <v>80</v>
      </c>
      <c r="D546" s="23">
        <v>0</v>
      </c>
      <c r="E546" s="23">
        <v>0</v>
      </c>
      <c r="F546" s="40">
        <f t="shared" si="55"/>
        <v>0</v>
      </c>
      <c r="G546" s="65">
        <f t="shared" si="56"/>
        <v>339331.00000000006</v>
      </c>
      <c r="H546" s="62"/>
      <c r="I546" s="35"/>
      <c r="J546" s="35"/>
    </row>
    <row r="547" spans="1:12" s="3" customFormat="1" ht="13.2" customHeight="1" x14ac:dyDescent="0.3">
      <c r="B547" s="33">
        <v>29</v>
      </c>
      <c r="C547" s="67" t="s">
        <v>81</v>
      </c>
      <c r="D547" s="23">
        <v>0</v>
      </c>
      <c r="E547" s="23">
        <v>0</v>
      </c>
      <c r="F547" s="40">
        <f t="shared" ref="F547:F551" si="57">+E547+D547</f>
        <v>0</v>
      </c>
      <c r="G547" s="65">
        <f t="shared" ref="G547:G550" si="58">+G546+F547</f>
        <v>339331.00000000006</v>
      </c>
      <c r="H547" s="62"/>
      <c r="I547" s="35"/>
      <c r="J547" s="35"/>
    </row>
    <row r="548" spans="1:12" s="3" customFormat="1" ht="13.2" customHeight="1" x14ac:dyDescent="0.3">
      <c r="B548" s="33">
        <v>30</v>
      </c>
      <c r="C548" s="67" t="s">
        <v>82</v>
      </c>
      <c r="D548" s="23">
        <v>0</v>
      </c>
      <c r="E548" s="23">
        <v>0</v>
      </c>
      <c r="F548" s="40">
        <f t="shared" si="57"/>
        <v>0</v>
      </c>
      <c r="G548" s="65">
        <f t="shared" si="58"/>
        <v>339331.00000000006</v>
      </c>
      <c r="H548" s="62"/>
      <c r="I548" s="35"/>
      <c r="J548" s="35"/>
    </row>
    <row r="549" spans="1:12" s="3" customFormat="1" ht="13.2" customHeight="1" x14ac:dyDescent="0.3">
      <c r="B549" s="33">
        <v>31</v>
      </c>
      <c r="C549" s="67" t="s">
        <v>83</v>
      </c>
      <c r="D549" s="23">
        <v>0</v>
      </c>
      <c r="E549" s="23">
        <v>0</v>
      </c>
      <c r="F549" s="40">
        <f t="shared" si="57"/>
        <v>0</v>
      </c>
      <c r="G549" s="65">
        <f t="shared" si="58"/>
        <v>339331.00000000006</v>
      </c>
      <c r="H549" s="62"/>
      <c r="I549" s="35"/>
      <c r="J549" s="35"/>
    </row>
    <row r="550" spans="1:12" s="3" customFormat="1" ht="13.2" customHeight="1" x14ac:dyDescent="0.3">
      <c r="B550" s="33">
        <v>32</v>
      </c>
      <c r="C550" s="67" t="s">
        <v>84</v>
      </c>
      <c r="D550" s="23">
        <v>0</v>
      </c>
      <c r="E550" s="23">
        <v>0</v>
      </c>
      <c r="F550" s="40">
        <f t="shared" si="57"/>
        <v>0</v>
      </c>
      <c r="G550" s="65">
        <f t="shared" si="58"/>
        <v>339331.00000000006</v>
      </c>
      <c r="H550" s="62"/>
      <c r="I550" s="35"/>
      <c r="J550" s="35"/>
    </row>
    <row r="551" spans="1:12" s="3" customFormat="1" ht="14.4" x14ac:dyDescent="0.3">
      <c r="B551" s="33">
        <v>33</v>
      </c>
      <c r="C551" s="67" t="s">
        <v>85</v>
      </c>
      <c r="D551" s="23">
        <v>0</v>
      </c>
      <c r="E551" s="23">
        <v>0</v>
      </c>
      <c r="F551" s="40">
        <f t="shared" si="57"/>
        <v>0</v>
      </c>
      <c r="G551" s="65">
        <f>+G550+F551</f>
        <v>339331.00000000006</v>
      </c>
      <c r="H551" s="62"/>
      <c r="I551" s="35"/>
      <c r="J551" s="35"/>
    </row>
    <row r="552" spans="1:12" s="3" customFormat="1" ht="14.4" x14ac:dyDescent="0.3">
      <c r="B552" s="33">
        <v>34</v>
      </c>
      <c r="C552" s="67" t="s">
        <v>87</v>
      </c>
      <c r="D552" s="23">
        <v>0</v>
      </c>
      <c r="E552" s="23">
        <v>0</v>
      </c>
      <c r="F552" s="40">
        <v>0</v>
      </c>
      <c r="G552" s="23">
        <f>+G551+F552</f>
        <v>339331.00000000006</v>
      </c>
      <c r="H552" s="62"/>
      <c r="I552" s="35"/>
      <c r="J552" s="10"/>
      <c r="K552" s="1"/>
      <c r="L552" s="32"/>
    </row>
    <row r="553" spans="1:12" s="3" customFormat="1" ht="14.4" x14ac:dyDescent="0.3">
      <c r="B553" s="33">
        <v>35</v>
      </c>
      <c r="C553" s="67" t="s">
        <v>86</v>
      </c>
      <c r="D553" s="23">
        <v>0</v>
      </c>
      <c r="E553" s="23">
        <v>0</v>
      </c>
      <c r="F553" s="40">
        <f>+E553+D553</f>
        <v>0</v>
      </c>
      <c r="G553" s="40">
        <f>+G552+F553</f>
        <v>339331.00000000006</v>
      </c>
      <c r="H553" s="62"/>
      <c r="I553" s="35"/>
      <c r="J553" s="10"/>
      <c r="K553" s="1"/>
      <c r="L553" s="32"/>
    </row>
    <row r="554" spans="1:12" ht="15.6" customHeight="1" x14ac:dyDescent="0.3">
      <c r="A554" s="3"/>
      <c r="B554" s="5" t="s">
        <v>45</v>
      </c>
      <c r="C554" s="68" t="s">
        <v>45</v>
      </c>
      <c r="D554" s="69" t="s">
        <v>45</v>
      </c>
      <c r="E554" s="69" t="s">
        <v>45</v>
      </c>
      <c r="F554" s="69" t="s">
        <v>45</v>
      </c>
      <c r="G554" s="69" t="s">
        <v>45</v>
      </c>
      <c r="H554" s="6" t="s">
        <v>45</v>
      </c>
      <c r="I554" s="3"/>
    </row>
    <row r="555" spans="1:12" ht="14.4" x14ac:dyDescent="0.3">
      <c r="A555" s="3"/>
      <c r="B555" s="8" t="s">
        <v>27</v>
      </c>
      <c r="C555" s="70"/>
      <c r="D555" s="69" t="s">
        <v>45</v>
      </c>
      <c r="E555" s="69" t="s">
        <v>45</v>
      </c>
      <c r="F555" s="69" t="s">
        <v>45</v>
      </c>
      <c r="G555" s="69" t="s">
        <v>45</v>
      </c>
      <c r="H555" s="6" t="s">
        <v>45</v>
      </c>
      <c r="I555" s="3"/>
    </row>
    <row r="556" spans="1:12" ht="14.4" x14ac:dyDescent="0.3">
      <c r="A556" s="3"/>
      <c r="B556" s="9" t="s">
        <v>28</v>
      </c>
      <c r="C556" s="5"/>
      <c r="D556" s="6"/>
      <c r="E556" s="6"/>
      <c r="F556" s="71"/>
      <c r="G556" s="71"/>
      <c r="H556" s="72"/>
      <c r="I556" s="3"/>
    </row>
    <row r="557" spans="1:12" ht="14.4" x14ac:dyDescent="0.3">
      <c r="A557" s="3"/>
      <c r="B557" s="9" t="s">
        <v>29</v>
      </c>
      <c r="C557" s="5"/>
      <c r="D557" s="6"/>
      <c r="E557" s="6"/>
      <c r="F557" s="71"/>
      <c r="G557" s="69" t="s">
        <v>45</v>
      </c>
      <c r="H557" s="6" t="s">
        <v>45</v>
      </c>
      <c r="I557" s="3"/>
    </row>
    <row r="558" spans="1:12" ht="14.4" x14ac:dyDescent="0.3">
      <c r="A558" s="3"/>
      <c r="B558" s="9" t="s">
        <v>30</v>
      </c>
      <c r="C558" s="5"/>
      <c r="D558" s="6"/>
      <c r="E558" s="6"/>
      <c r="F558" s="69" t="s">
        <v>45</v>
      </c>
      <c r="G558" s="69" t="s">
        <v>45</v>
      </c>
      <c r="H558" s="6" t="s">
        <v>45</v>
      </c>
      <c r="I558" s="3"/>
    </row>
    <row r="559" spans="1:12" ht="14.4" x14ac:dyDescent="0.3">
      <c r="A559" s="3"/>
      <c r="B559" s="3"/>
      <c r="C559" s="54"/>
      <c r="D559" s="55"/>
      <c r="E559" s="55"/>
      <c r="F559" s="55"/>
      <c r="G559" s="55"/>
      <c r="H559" s="32"/>
      <c r="I559" s="3"/>
    </row>
    <row r="560" spans="1:12" ht="14.4" x14ac:dyDescent="0.3">
      <c r="A560" s="3"/>
      <c r="B560" s="50" t="s">
        <v>51</v>
      </c>
      <c r="C560" s="51"/>
      <c r="D560" s="52"/>
      <c r="E560" s="52"/>
      <c r="F560" s="52"/>
      <c r="G560" s="52"/>
      <c r="H560" s="53" t="s">
        <v>45</v>
      </c>
      <c r="I560" s="3"/>
    </row>
    <row r="561" spans="1:11" ht="14.4" x14ac:dyDescent="0.3">
      <c r="A561" s="3"/>
      <c r="B561" s="50" t="s">
        <v>44</v>
      </c>
      <c r="C561" s="51"/>
      <c r="D561" s="52"/>
      <c r="E561" s="52" t="s">
        <v>45</v>
      </c>
      <c r="F561" s="52" t="s">
        <v>45</v>
      </c>
      <c r="G561" s="52" t="s">
        <v>45</v>
      </c>
      <c r="H561" s="53" t="s">
        <v>45</v>
      </c>
      <c r="I561" s="3"/>
    </row>
    <row r="562" spans="1:11" ht="14.4" x14ac:dyDescent="0.3">
      <c r="A562" s="3"/>
      <c r="B562" s="50"/>
      <c r="C562" s="51"/>
      <c r="D562" s="52"/>
      <c r="E562" s="52"/>
      <c r="F562" s="52"/>
      <c r="G562" s="52"/>
      <c r="H562" s="53"/>
      <c r="I562" s="3"/>
    </row>
    <row r="563" spans="1:11" ht="14.4" x14ac:dyDescent="0.3">
      <c r="A563" s="3"/>
      <c r="B563" s="3"/>
      <c r="C563" s="54"/>
      <c r="D563" s="55"/>
      <c r="E563" s="55"/>
      <c r="F563" s="55"/>
      <c r="G563" s="55"/>
      <c r="H563" s="32"/>
      <c r="I563" s="3"/>
    </row>
    <row r="564" spans="1:11" ht="14.4" x14ac:dyDescent="0.3">
      <c r="A564" s="3"/>
      <c r="B564" s="3"/>
      <c r="C564" s="54"/>
      <c r="D564" s="55"/>
      <c r="E564" s="55"/>
      <c r="F564" s="55"/>
      <c r="G564" s="55"/>
      <c r="H564" s="32"/>
      <c r="I564" s="3"/>
    </row>
    <row r="565" spans="1:11" ht="16.5" customHeight="1" x14ac:dyDescent="0.35">
      <c r="A565" s="25"/>
      <c r="B565" s="26" t="s">
        <v>45</v>
      </c>
      <c r="C565" s="56" t="s">
        <v>45</v>
      </c>
      <c r="D565" s="186" t="s">
        <v>52</v>
      </c>
      <c r="E565" s="186"/>
      <c r="F565" s="186"/>
      <c r="G565" s="186"/>
      <c r="H565" s="186"/>
      <c r="I565" s="2" t="s">
        <v>0</v>
      </c>
    </row>
    <row r="566" spans="1:11" ht="15.9" customHeight="1" x14ac:dyDescent="0.3">
      <c r="A566" s="3"/>
      <c r="B566" s="132" t="s">
        <v>89</v>
      </c>
      <c r="C566" s="132"/>
      <c r="D566" s="132"/>
      <c r="E566" s="132"/>
      <c r="F566" s="132"/>
      <c r="G566" s="132"/>
      <c r="H566" s="132"/>
      <c r="I566" s="2" t="s">
        <v>1</v>
      </c>
    </row>
    <row r="567" spans="1:11" ht="14.4" x14ac:dyDescent="0.3">
      <c r="A567" s="3"/>
      <c r="B567" s="14"/>
      <c r="C567" s="15"/>
      <c r="D567" s="152" t="s">
        <v>6</v>
      </c>
      <c r="E567" s="152"/>
      <c r="F567" s="152"/>
      <c r="G567" s="152"/>
      <c r="H567" s="180" t="s">
        <v>45</v>
      </c>
      <c r="I567" s="2" t="s">
        <v>2</v>
      </c>
    </row>
    <row r="568" spans="1:11" ht="14.4" x14ac:dyDescent="0.3">
      <c r="A568" s="3"/>
      <c r="B568" s="12"/>
      <c r="C568" s="13"/>
      <c r="D568" s="155" t="s">
        <v>9</v>
      </c>
      <c r="E568" s="155"/>
      <c r="F568" s="155"/>
      <c r="G568" s="155"/>
      <c r="H568" s="180"/>
      <c r="I568" s="2" t="s">
        <v>3</v>
      </c>
    </row>
    <row r="569" spans="1:11" ht="14.4" x14ac:dyDescent="0.3">
      <c r="A569" s="3"/>
      <c r="B569" s="111" t="s">
        <v>10</v>
      </c>
      <c r="C569" s="113" t="s">
        <v>11</v>
      </c>
      <c r="D569" s="44" t="s">
        <v>12</v>
      </c>
      <c r="E569" s="44" t="s">
        <v>13</v>
      </c>
      <c r="F569" s="44" t="s">
        <v>14</v>
      </c>
      <c r="G569" s="57" t="s">
        <v>15</v>
      </c>
      <c r="H569" s="175" t="s">
        <v>45</v>
      </c>
      <c r="I569" s="2" t="s">
        <v>4</v>
      </c>
    </row>
    <row r="570" spans="1:11" ht="14.4" x14ac:dyDescent="0.3">
      <c r="A570" s="3"/>
      <c r="B570" s="111"/>
      <c r="C570" s="113"/>
      <c r="D570" s="165" t="s">
        <v>20</v>
      </c>
      <c r="E570" s="165"/>
      <c r="F570" s="165"/>
      <c r="G570" s="165"/>
      <c r="H570" s="175"/>
      <c r="I570" s="3"/>
    </row>
    <row r="571" spans="1:11" ht="14.4" x14ac:dyDescent="0.3">
      <c r="A571" s="3"/>
      <c r="B571" s="33">
        <v>4</v>
      </c>
      <c r="C571" s="58" t="s">
        <v>21</v>
      </c>
      <c r="D571" s="59">
        <v>33002</v>
      </c>
      <c r="E571" s="23">
        <v>0</v>
      </c>
      <c r="F571" s="60">
        <f>+E571+D571</f>
        <v>33002</v>
      </c>
      <c r="G571" s="61">
        <f>+F571</f>
        <v>33002</v>
      </c>
      <c r="H571" s="62" t="s">
        <v>45</v>
      </c>
      <c r="I571" s="3"/>
    </row>
    <row r="572" spans="1:11" ht="14.4" x14ac:dyDescent="0.3">
      <c r="A572" s="3"/>
      <c r="B572" s="63">
        <v>5</v>
      </c>
      <c r="C572" s="64" t="s">
        <v>22</v>
      </c>
      <c r="D572" s="59">
        <v>132694.17000000001</v>
      </c>
      <c r="E572" s="23">
        <v>0</v>
      </c>
      <c r="F572" s="60">
        <f>+E572+D572</f>
        <v>132694.17000000001</v>
      </c>
      <c r="G572" s="61">
        <f>+G571+F572</f>
        <v>165696.17000000001</v>
      </c>
      <c r="H572" s="62" t="s">
        <v>45</v>
      </c>
      <c r="I572" s="3"/>
    </row>
    <row r="573" spans="1:11" ht="14.4" x14ac:dyDescent="0.3">
      <c r="A573" s="3"/>
      <c r="B573" s="63">
        <v>6</v>
      </c>
      <c r="C573" s="64" t="s">
        <v>23</v>
      </c>
      <c r="D573" s="59">
        <v>66514.61</v>
      </c>
      <c r="E573" s="23">
        <v>0</v>
      </c>
      <c r="F573" s="60">
        <f>+E573+D573</f>
        <v>66514.61</v>
      </c>
      <c r="G573" s="61">
        <f>+G572+F573</f>
        <v>232210.78000000003</v>
      </c>
      <c r="H573" s="62" t="s">
        <v>45</v>
      </c>
      <c r="I573" s="3"/>
    </row>
    <row r="574" spans="1:11" ht="14.4" x14ac:dyDescent="0.3">
      <c r="A574" s="3"/>
      <c r="B574" s="63">
        <v>7</v>
      </c>
      <c r="C574" s="64" t="s">
        <v>24</v>
      </c>
      <c r="D574" s="59">
        <v>112205.12</v>
      </c>
      <c r="E574" s="23">
        <v>0</v>
      </c>
      <c r="F574" s="60">
        <f>+E574+D574</f>
        <v>112205.12</v>
      </c>
      <c r="G574" s="61">
        <f>+G573+F574</f>
        <v>344415.9</v>
      </c>
      <c r="H574" s="62" t="s">
        <v>45</v>
      </c>
      <c r="I574" s="3"/>
    </row>
    <row r="575" spans="1:11" ht="14.4" x14ac:dyDescent="0.3">
      <c r="A575" s="3"/>
      <c r="B575" s="33">
        <v>8</v>
      </c>
      <c r="C575" s="31" t="s">
        <v>25</v>
      </c>
      <c r="D575" s="23">
        <v>117213.18</v>
      </c>
      <c r="E575" s="23">
        <v>0</v>
      </c>
      <c r="F575" s="60">
        <f>+E575+D575</f>
        <v>117213.18</v>
      </c>
      <c r="G575" s="61">
        <f>+G574+F575</f>
        <v>461629.08</v>
      </c>
      <c r="H575" s="62"/>
      <c r="I575" s="66"/>
      <c r="J575" s="3"/>
      <c r="K575" s="3"/>
    </row>
    <row r="576" spans="1:11" s="3" customFormat="1" ht="14.4" x14ac:dyDescent="0.3">
      <c r="B576" s="33">
        <v>9</v>
      </c>
      <c r="C576" s="31" t="s">
        <v>26</v>
      </c>
      <c r="D576" s="23">
        <v>156231.19</v>
      </c>
      <c r="E576" s="23">
        <v>0</v>
      </c>
      <c r="F576" s="40">
        <f t="shared" ref="F576:F595" si="59">+E576+D576</f>
        <v>156231.19</v>
      </c>
      <c r="G576" s="65">
        <f t="shared" ref="G576:G595" si="60">+G575+F576</f>
        <v>617860.27</v>
      </c>
      <c r="H576" s="62"/>
      <c r="I576" s="35"/>
      <c r="J576" s="35"/>
    </row>
    <row r="577" spans="2:10" s="3" customFormat="1" ht="14.4" x14ac:dyDescent="0.3">
      <c r="B577" s="33">
        <v>10</v>
      </c>
      <c r="C577" s="31" t="s">
        <v>55</v>
      </c>
      <c r="D577" s="23">
        <v>46719.1</v>
      </c>
      <c r="E577" s="23">
        <v>0</v>
      </c>
      <c r="F577" s="40">
        <f t="shared" si="59"/>
        <v>46719.1</v>
      </c>
      <c r="G577" s="65">
        <f t="shared" si="60"/>
        <v>664579.37</v>
      </c>
      <c r="H577" s="62"/>
      <c r="I577" s="35"/>
      <c r="J577" s="35"/>
    </row>
    <row r="578" spans="2:10" s="3" customFormat="1" ht="14.4" x14ac:dyDescent="0.3">
      <c r="B578" s="33">
        <v>11</v>
      </c>
      <c r="C578" s="31" t="s">
        <v>56</v>
      </c>
      <c r="D578" s="23">
        <v>143498.67000000001</v>
      </c>
      <c r="E578" s="23">
        <v>0</v>
      </c>
      <c r="F578" s="40">
        <f t="shared" si="59"/>
        <v>143498.67000000001</v>
      </c>
      <c r="G578" s="65">
        <f t="shared" si="60"/>
        <v>808078.04</v>
      </c>
      <c r="H578" s="62"/>
      <c r="I578" s="35"/>
      <c r="J578" s="35"/>
    </row>
    <row r="579" spans="2:10" s="3" customFormat="1" ht="14.4" x14ac:dyDescent="0.3">
      <c r="B579" s="33">
        <v>12</v>
      </c>
      <c r="C579" s="31" t="s">
        <v>71</v>
      </c>
      <c r="D579" s="23">
        <v>202059.68</v>
      </c>
      <c r="E579" s="23">
        <v>0</v>
      </c>
      <c r="F579" s="40">
        <f t="shared" si="59"/>
        <v>202059.68</v>
      </c>
      <c r="G579" s="65">
        <f t="shared" si="60"/>
        <v>1010137.72</v>
      </c>
      <c r="H579" s="62"/>
      <c r="I579" s="35"/>
      <c r="J579" s="35"/>
    </row>
    <row r="580" spans="2:10" s="3" customFormat="1" ht="14.4" x14ac:dyDescent="0.3">
      <c r="B580" s="33">
        <v>13</v>
      </c>
      <c r="C580" s="31" t="s">
        <v>57</v>
      </c>
      <c r="D580" s="23">
        <v>151322.65</v>
      </c>
      <c r="E580" s="23">
        <v>0</v>
      </c>
      <c r="F580" s="40">
        <f t="shared" si="59"/>
        <v>151322.65</v>
      </c>
      <c r="G580" s="65">
        <f t="shared" si="60"/>
        <v>1161460.3699999999</v>
      </c>
      <c r="H580" s="62"/>
      <c r="I580" s="35"/>
      <c r="J580" s="35"/>
    </row>
    <row r="581" spans="2:10" s="3" customFormat="1" ht="16.8" customHeight="1" x14ac:dyDescent="0.3">
      <c r="B581" s="33">
        <v>14</v>
      </c>
      <c r="C581" s="49" t="s">
        <v>58</v>
      </c>
      <c r="D581" s="23">
        <v>84872.6</v>
      </c>
      <c r="E581" s="23">
        <v>0</v>
      </c>
      <c r="F581" s="40">
        <f t="shared" si="59"/>
        <v>84872.6</v>
      </c>
      <c r="G581" s="65">
        <f t="shared" si="60"/>
        <v>1246332.97</v>
      </c>
      <c r="H581" s="62"/>
      <c r="I581" s="35"/>
      <c r="J581" s="35"/>
    </row>
    <row r="582" spans="2:10" s="3" customFormat="1" ht="14.4" x14ac:dyDescent="0.3">
      <c r="B582" s="33">
        <v>15</v>
      </c>
      <c r="C582" s="31" t="s">
        <v>59</v>
      </c>
      <c r="D582" s="23">
        <v>41239</v>
      </c>
      <c r="E582" s="23">
        <v>0</v>
      </c>
      <c r="F582" s="40">
        <f t="shared" si="59"/>
        <v>41239</v>
      </c>
      <c r="G582" s="65">
        <f t="shared" si="60"/>
        <v>1287571.97</v>
      </c>
      <c r="H582" s="62"/>
      <c r="I582" s="35"/>
      <c r="J582" s="35"/>
    </row>
    <row r="583" spans="2:10" s="3" customFormat="1" ht="14.4" x14ac:dyDescent="0.3">
      <c r="B583" s="33">
        <v>16</v>
      </c>
      <c r="C583" s="31" t="s">
        <v>60</v>
      </c>
      <c r="D583" s="23">
        <v>84408.52</v>
      </c>
      <c r="E583" s="23">
        <v>0</v>
      </c>
      <c r="F583" s="40">
        <f t="shared" si="59"/>
        <v>84408.52</v>
      </c>
      <c r="G583" s="65">
        <f t="shared" si="60"/>
        <v>1371980.49</v>
      </c>
      <c r="H583" s="62"/>
      <c r="I583" s="35"/>
      <c r="J583" s="35"/>
    </row>
    <row r="584" spans="2:10" s="3" customFormat="1" ht="14.4" x14ac:dyDescent="0.3">
      <c r="B584" s="33">
        <v>17</v>
      </c>
      <c r="C584" s="31" t="s">
        <v>61</v>
      </c>
      <c r="D584" s="23">
        <v>29959.02</v>
      </c>
      <c r="E584" s="23">
        <v>0</v>
      </c>
      <c r="F584" s="40">
        <f t="shared" si="59"/>
        <v>29959.02</v>
      </c>
      <c r="G584" s="65">
        <f t="shared" si="60"/>
        <v>1401939.51</v>
      </c>
      <c r="H584" s="62"/>
      <c r="I584" s="35"/>
      <c r="J584" s="35"/>
    </row>
    <row r="585" spans="2:10" s="3" customFormat="1" ht="14.4" x14ac:dyDescent="0.3">
      <c r="B585" s="33">
        <v>18</v>
      </c>
      <c r="C585" s="31" t="s">
        <v>62</v>
      </c>
      <c r="D585" s="23">
        <v>15322</v>
      </c>
      <c r="E585" s="23">
        <v>0</v>
      </c>
      <c r="F585" s="40">
        <f t="shared" si="59"/>
        <v>15322</v>
      </c>
      <c r="G585" s="65">
        <f t="shared" si="60"/>
        <v>1417261.51</v>
      </c>
      <c r="H585" s="62"/>
      <c r="I585" s="35"/>
      <c r="J585" s="35"/>
    </row>
    <row r="586" spans="2:10" s="3" customFormat="1" ht="14.4" x14ac:dyDescent="0.3">
      <c r="B586" s="33">
        <v>19</v>
      </c>
      <c r="C586" s="31" t="s">
        <v>63</v>
      </c>
      <c r="D586" s="23">
        <v>0</v>
      </c>
      <c r="E586" s="23">
        <v>0</v>
      </c>
      <c r="F586" s="40">
        <f t="shared" si="59"/>
        <v>0</v>
      </c>
      <c r="G586" s="65">
        <f t="shared" si="60"/>
        <v>1417261.51</v>
      </c>
      <c r="H586" s="62"/>
      <c r="I586" s="35"/>
      <c r="J586" s="35"/>
    </row>
    <row r="587" spans="2:10" s="3" customFormat="1" ht="14.4" x14ac:dyDescent="0.3">
      <c r="B587" s="33">
        <v>20</v>
      </c>
      <c r="C587" s="31" t="s">
        <v>64</v>
      </c>
      <c r="D587" s="23">
        <v>0</v>
      </c>
      <c r="E587" s="23">
        <v>0</v>
      </c>
      <c r="F587" s="40">
        <f t="shared" si="59"/>
        <v>0</v>
      </c>
      <c r="G587" s="65">
        <f t="shared" si="60"/>
        <v>1417261.51</v>
      </c>
      <c r="H587" s="62"/>
      <c r="I587" s="35"/>
      <c r="J587" s="35"/>
    </row>
    <row r="588" spans="2:10" s="3" customFormat="1" ht="14.4" x14ac:dyDescent="0.3">
      <c r="B588" s="33">
        <v>21</v>
      </c>
      <c r="C588" s="31" t="s">
        <v>65</v>
      </c>
      <c r="D588" s="23">
        <v>5113.5</v>
      </c>
      <c r="E588" s="23">
        <v>0</v>
      </c>
      <c r="F588" s="40">
        <f t="shared" si="59"/>
        <v>5113.5</v>
      </c>
      <c r="G588" s="65">
        <f t="shared" si="60"/>
        <v>1422375.01</v>
      </c>
      <c r="H588" s="62"/>
      <c r="I588" s="35"/>
      <c r="J588" s="35"/>
    </row>
    <row r="589" spans="2:10" s="3" customFormat="1" ht="14.4" x14ac:dyDescent="0.3">
      <c r="B589" s="33">
        <v>22</v>
      </c>
      <c r="C589" s="31" t="s">
        <v>66</v>
      </c>
      <c r="D589" s="23">
        <v>0</v>
      </c>
      <c r="E589" s="23">
        <v>0</v>
      </c>
      <c r="F589" s="40">
        <f t="shared" si="59"/>
        <v>0</v>
      </c>
      <c r="G589" s="65">
        <f t="shared" si="60"/>
        <v>1422375.01</v>
      </c>
      <c r="H589" s="62"/>
      <c r="I589" s="35"/>
      <c r="J589" s="35"/>
    </row>
    <row r="590" spans="2:10" s="3" customFormat="1" ht="14.4" x14ac:dyDescent="0.3">
      <c r="B590" s="33">
        <v>23</v>
      </c>
      <c r="C590" s="31" t="s">
        <v>67</v>
      </c>
      <c r="D590" s="23">
        <v>0</v>
      </c>
      <c r="E590" s="23">
        <v>0</v>
      </c>
      <c r="F590" s="40">
        <f t="shared" si="59"/>
        <v>0</v>
      </c>
      <c r="G590" s="65">
        <f t="shared" si="60"/>
        <v>1422375.01</v>
      </c>
      <c r="H590" s="62"/>
      <c r="I590" s="35"/>
      <c r="J590" s="35"/>
    </row>
    <row r="591" spans="2:10" s="3" customFormat="1" ht="14.4" x14ac:dyDescent="0.3">
      <c r="B591" s="33">
        <v>24</v>
      </c>
      <c r="C591" s="31" t="s">
        <v>68</v>
      </c>
      <c r="D591" s="23">
        <v>0</v>
      </c>
      <c r="E591" s="23">
        <v>0</v>
      </c>
      <c r="F591" s="40">
        <f t="shared" si="59"/>
        <v>0</v>
      </c>
      <c r="G591" s="65">
        <f t="shared" si="60"/>
        <v>1422375.01</v>
      </c>
      <c r="H591" s="62"/>
      <c r="I591" s="35"/>
      <c r="J591" s="35"/>
    </row>
    <row r="592" spans="2:10" s="3" customFormat="1" ht="14.4" x14ac:dyDescent="0.3">
      <c r="B592" s="33">
        <v>25</v>
      </c>
      <c r="C592" s="67" t="s">
        <v>69</v>
      </c>
      <c r="D592" s="23">
        <v>0</v>
      </c>
      <c r="E592" s="23">
        <v>0</v>
      </c>
      <c r="F592" s="40">
        <f t="shared" si="59"/>
        <v>0</v>
      </c>
      <c r="G592" s="65">
        <f t="shared" si="60"/>
        <v>1422375.01</v>
      </c>
      <c r="H592" s="62"/>
      <c r="I592" s="35"/>
      <c r="J592" s="35"/>
    </row>
    <row r="593" spans="1:12" s="3" customFormat="1" ht="14.4" x14ac:dyDescent="0.3">
      <c r="B593" s="33">
        <v>26</v>
      </c>
      <c r="C593" s="67" t="s">
        <v>70</v>
      </c>
      <c r="D593" s="94">
        <v>0</v>
      </c>
      <c r="E593" s="95">
        <v>0</v>
      </c>
      <c r="F593" s="96">
        <f t="shared" si="59"/>
        <v>0</v>
      </c>
      <c r="G593" s="98">
        <f t="shared" si="60"/>
        <v>1422375.01</v>
      </c>
      <c r="H593" s="62"/>
      <c r="I593" s="35"/>
      <c r="J593" s="35"/>
    </row>
    <row r="594" spans="1:12" s="3" customFormat="1" ht="14.4" x14ac:dyDescent="0.3">
      <c r="B594" s="33">
        <v>27</v>
      </c>
      <c r="C594" s="31" t="s">
        <v>79</v>
      </c>
      <c r="D594" s="18">
        <v>0</v>
      </c>
      <c r="E594" s="18">
        <v>0</v>
      </c>
      <c r="F594" s="36">
        <f t="shared" si="59"/>
        <v>0</v>
      </c>
      <c r="G594" s="84">
        <f t="shared" si="60"/>
        <v>1422375.01</v>
      </c>
      <c r="H594" s="62"/>
      <c r="I594" s="35"/>
      <c r="J594" s="35"/>
    </row>
    <row r="595" spans="1:12" s="3" customFormat="1" ht="13.2" customHeight="1" x14ac:dyDescent="0.3">
      <c r="B595" s="33">
        <v>28</v>
      </c>
      <c r="C595" s="67" t="s">
        <v>80</v>
      </c>
      <c r="D595" s="23">
        <v>0</v>
      </c>
      <c r="E595" s="23">
        <v>0</v>
      </c>
      <c r="F595" s="40">
        <f t="shared" si="59"/>
        <v>0</v>
      </c>
      <c r="G595" s="65">
        <f t="shared" si="60"/>
        <v>1422375.01</v>
      </c>
      <c r="H595" s="62"/>
      <c r="I595" s="35"/>
      <c r="J595" s="35"/>
    </row>
    <row r="596" spans="1:12" s="3" customFormat="1" ht="13.2" customHeight="1" x14ac:dyDescent="0.3">
      <c r="B596" s="33">
        <v>29</v>
      </c>
      <c r="C596" s="67" t="s">
        <v>81</v>
      </c>
      <c r="D596" s="23">
        <v>0</v>
      </c>
      <c r="E596" s="23">
        <v>0</v>
      </c>
      <c r="F596" s="40">
        <f t="shared" ref="F596:F600" si="61">+E596+D596</f>
        <v>0</v>
      </c>
      <c r="G596" s="65">
        <f t="shared" ref="G596:G599" si="62">+G595+F596</f>
        <v>1422375.01</v>
      </c>
      <c r="H596" s="62"/>
      <c r="I596" s="35"/>
      <c r="J596" s="35"/>
    </row>
    <row r="597" spans="1:12" s="3" customFormat="1" ht="13.2" customHeight="1" x14ac:dyDescent="0.3">
      <c r="B597" s="33">
        <v>30</v>
      </c>
      <c r="C597" s="67" t="s">
        <v>82</v>
      </c>
      <c r="D597" s="23">
        <v>0</v>
      </c>
      <c r="E597" s="23">
        <v>0</v>
      </c>
      <c r="F597" s="40">
        <f t="shared" si="61"/>
        <v>0</v>
      </c>
      <c r="G597" s="65">
        <f t="shared" si="62"/>
        <v>1422375.01</v>
      </c>
      <c r="H597" s="62"/>
      <c r="I597" s="35"/>
      <c r="J597" s="35"/>
    </row>
    <row r="598" spans="1:12" s="3" customFormat="1" ht="13.2" customHeight="1" x14ac:dyDescent="0.3">
      <c r="B598" s="33">
        <v>31</v>
      </c>
      <c r="C598" s="67" t="s">
        <v>83</v>
      </c>
      <c r="D598" s="23">
        <v>0</v>
      </c>
      <c r="E598" s="23">
        <v>0</v>
      </c>
      <c r="F598" s="40">
        <f t="shared" si="61"/>
        <v>0</v>
      </c>
      <c r="G598" s="65">
        <f t="shared" si="62"/>
        <v>1422375.01</v>
      </c>
      <c r="H598" s="62"/>
      <c r="I598" s="35"/>
      <c r="J598" s="35"/>
    </row>
    <row r="599" spans="1:12" s="3" customFormat="1" ht="13.2" customHeight="1" x14ac:dyDescent="0.3">
      <c r="B599" s="33">
        <v>32</v>
      </c>
      <c r="C599" s="67" t="s">
        <v>84</v>
      </c>
      <c r="D599" s="23">
        <v>0</v>
      </c>
      <c r="E599" s="23">
        <v>0</v>
      </c>
      <c r="F599" s="40">
        <f t="shared" si="61"/>
        <v>0</v>
      </c>
      <c r="G599" s="65">
        <f t="shared" si="62"/>
        <v>1422375.01</v>
      </c>
      <c r="H599" s="62"/>
      <c r="I599" s="35"/>
      <c r="J599" s="35"/>
    </row>
    <row r="600" spans="1:12" s="3" customFormat="1" ht="14.4" x14ac:dyDescent="0.3">
      <c r="B600" s="33">
        <v>33</v>
      </c>
      <c r="C600" s="67" t="s">
        <v>85</v>
      </c>
      <c r="D600" s="23">
        <v>0</v>
      </c>
      <c r="E600" s="23">
        <v>0</v>
      </c>
      <c r="F600" s="40">
        <f t="shared" si="61"/>
        <v>0</v>
      </c>
      <c r="G600" s="65">
        <f>+G599+F600</f>
        <v>1422375.01</v>
      </c>
      <c r="H600" s="62"/>
      <c r="I600" s="35"/>
      <c r="J600" s="35"/>
    </row>
    <row r="601" spans="1:12" s="3" customFormat="1" ht="14.4" x14ac:dyDescent="0.3">
      <c r="B601" s="33">
        <v>34</v>
      </c>
      <c r="C601" s="67" t="s">
        <v>87</v>
      </c>
      <c r="D601" s="23">
        <v>0</v>
      </c>
      <c r="E601" s="23">
        <v>0</v>
      </c>
      <c r="F601" s="40">
        <v>0</v>
      </c>
      <c r="G601" s="23">
        <f>+G600+F601</f>
        <v>1422375.01</v>
      </c>
      <c r="H601" s="62"/>
      <c r="I601" s="35"/>
      <c r="J601" s="10"/>
      <c r="K601" s="1"/>
      <c r="L601" s="32"/>
    </row>
    <row r="602" spans="1:12" s="3" customFormat="1" ht="14.4" x14ac:dyDescent="0.3">
      <c r="B602" s="33">
        <v>35</v>
      </c>
      <c r="C602" s="67" t="s">
        <v>86</v>
      </c>
      <c r="D602" s="23">
        <v>0</v>
      </c>
      <c r="E602" s="23">
        <v>0</v>
      </c>
      <c r="F602" s="40">
        <f>+E602+D602</f>
        <v>0</v>
      </c>
      <c r="G602" s="40">
        <f>+G601+F602</f>
        <v>1422375.01</v>
      </c>
      <c r="H602" s="62"/>
      <c r="I602" s="35"/>
      <c r="J602" s="10"/>
      <c r="K602" s="1"/>
      <c r="L602" s="32"/>
    </row>
    <row r="603" spans="1:12" ht="14.4" x14ac:dyDescent="0.3">
      <c r="A603" s="3"/>
      <c r="B603" s="5" t="s">
        <v>45</v>
      </c>
      <c r="C603" s="68" t="s">
        <v>45</v>
      </c>
      <c r="D603" s="69" t="s">
        <v>45</v>
      </c>
      <c r="E603" s="69" t="s">
        <v>45</v>
      </c>
      <c r="F603" s="69" t="s">
        <v>45</v>
      </c>
      <c r="G603" s="69" t="s">
        <v>45</v>
      </c>
      <c r="H603" s="6" t="s">
        <v>45</v>
      </c>
      <c r="I603" s="32"/>
      <c r="J603" s="79"/>
    </row>
    <row r="604" spans="1:12" ht="14.4" x14ac:dyDescent="0.3">
      <c r="A604" s="3"/>
      <c r="B604" s="8" t="s">
        <v>27</v>
      </c>
      <c r="C604" s="70"/>
      <c r="D604" s="69" t="s">
        <v>45</v>
      </c>
      <c r="E604" s="69" t="s">
        <v>45</v>
      </c>
      <c r="F604" s="69" t="s">
        <v>45</v>
      </c>
      <c r="G604" s="69" t="s">
        <v>45</v>
      </c>
      <c r="H604" s="6" t="s">
        <v>45</v>
      </c>
      <c r="I604" s="3"/>
      <c r="J604" s="79"/>
    </row>
    <row r="605" spans="1:12" ht="14.4" x14ac:dyDescent="0.3">
      <c r="A605" s="3"/>
      <c r="B605" s="9" t="s">
        <v>28</v>
      </c>
      <c r="C605" s="5"/>
      <c r="D605" s="6"/>
      <c r="E605" s="6"/>
      <c r="F605" s="71"/>
      <c r="G605" s="71"/>
      <c r="H605" s="72"/>
      <c r="I605" s="3"/>
    </row>
    <row r="606" spans="1:12" ht="14.4" x14ac:dyDescent="0.3">
      <c r="A606" s="3"/>
      <c r="B606" s="9" t="s">
        <v>29</v>
      </c>
      <c r="C606" s="5"/>
      <c r="D606" s="6"/>
      <c r="E606" s="6"/>
      <c r="F606" s="71"/>
      <c r="G606" s="69" t="s">
        <v>45</v>
      </c>
      <c r="H606" s="6" t="s">
        <v>45</v>
      </c>
      <c r="I606" s="3"/>
    </row>
    <row r="607" spans="1:12" ht="14.4" x14ac:dyDescent="0.3">
      <c r="A607" s="3"/>
      <c r="B607" s="9" t="s">
        <v>30</v>
      </c>
      <c r="C607" s="5"/>
      <c r="D607" s="6"/>
      <c r="E607" s="6"/>
      <c r="F607" s="69" t="s">
        <v>45</v>
      </c>
      <c r="G607" s="69" t="s">
        <v>45</v>
      </c>
      <c r="H607" s="6" t="s">
        <v>45</v>
      </c>
      <c r="I607" s="3"/>
    </row>
    <row r="608" spans="1:12" ht="14.4" x14ac:dyDescent="0.3">
      <c r="A608" s="3"/>
      <c r="B608" s="9" t="s">
        <v>45</v>
      </c>
      <c r="C608" s="68" t="s">
        <v>45</v>
      </c>
      <c r="D608" s="69" t="s">
        <v>45</v>
      </c>
      <c r="E608" s="69" t="s">
        <v>45</v>
      </c>
      <c r="F608" s="69" t="s">
        <v>45</v>
      </c>
      <c r="G608" s="69" t="s">
        <v>45</v>
      </c>
      <c r="H608" s="6" t="s">
        <v>45</v>
      </c>
      <c r="I608" s="3"/>
    </row>
    <row r="609" spans="1:11" ht="14.4" x14ac:dyDescent="0.3">
      <c r="A609" s="3"/>
      <c r="B609" s="9" t="s">
        <v>45</v>
      </c>
      <c r="C609" s="68" t="s">
        <v>45</v>
      </c>
      <c r="D609" s="69" t="s">
        <v>45</v>
      </c>
      <c r="E609" s="69" t="s">
        <v>45</v>
      </c>
      <c r="F609" s="69" t="s">
        <v>45</v>
      </c>
      <c r="G609" s="69" t="s">
        <v>45</v>
      </c>
      <c r="H609" s="6" t="s">
        <v>45</v>
      </c>
      <c r="I609" s="3"/>
    </row>
    <row r="610" spans="1:11" ht="18" x14ac:dyDescent="0.35">
      <c r="A610" s="3"/>
      <c r="C610" s="73"/>
      <c r="D610" s="184" t="s">
        <v>31</v>
      </c>
      <c r="E610" s="184"/>
      <c r="F610" s="184"/>
      <c r="G610" s="184"/>
      <c r="H610" s="184"/>
      <c r="I610" s="3"/>
    </row>
    <row r="611" spans="1:11" ht="15.6" x14ac:dyDescent="0.3">
      <c r="A611" s="28"/>
      <c r="B611" s="24" t="s">
        <v>45</v>
      </c>
      <c r="C611" s="74" t="s">
        <v>45</v>
      </c>
      <c r="D611" s="185" t="s">
        <v>52</v>
      </c>
      <c r="E611" s="185"/>
      <c r="F611" s="185"/>
      <c r="G611" s="185"/>
      <c r="H611" s="185"/>
      <c r="I611" s="28"/>
    </row>
    <row r="612" spans="1:11" ht="15.9" customHeight="1" x14ac:dyDescent="0.3">
      <c r="A612" s="3"/>
      <c r="B612" s="132" t="s">
        <v>89</v>
      </c>
      <c r="C612" s="132"/>
      <c r="D612" s="132"/>
      <c r="E612" s="132"/>
      <c r="F612" s="132"/>
      <c r="G612" s="132"/>
      <c r="H612" s="132"/>
      <c r="I612" s="3"/>
    </row>
    <row r="613" spans="1:11" ht="14.4" x14ac:dyDescent="0.3">
      <c r="A613" s="3"/>
      <c r="B613" s="14"/>
      <c r="C613" s="15"/>
      <c r="D613" s="152" t="s">
        <v>6</v>
      </c>
      <c r="E613" s="152"/>
      <c r="F613" s="152"/>
      <c r="G613" s="152"/>
      <c r="H613" s="180" t="s">
        <v>45</v>
      </c>
      <c r="I613" s="3"/>
    </row>
    <row r="614" spans="1:11" ht="14.4" x14ac:dyDescent="0.3">
      <c r="A614" s="3"/>
      <c r="B614" s="12"/>
      <c r="C614" s="13"/>
      <c r="D614" s="155" t="s">
        <v>9</v>
      </c>
      <c r="E614" s="155"/>
      <c r="F614" s="155"/>
      <c r="G614" s="155"/>
      <c r="H614" s="180"/>
      <c r="I614" s="3"/>
    </row>
    <row r="615" spans="1:11" ht="14.4" x14ac:dyDescent="0.3">
      <c r="A615" s="3"/>
      <c r="B615" s="111" t="s">
        <v>10</v>
      </c>
      <c r="C615" s="113" t="s">
        <v>11</v>
      </c>
      <c r="D615" s="44" t="s">
        <v>12</v>
      </c>
      <c r="E615" s="44" t="s">
        <v>13</v>
      </c>
      <c r="F615" s="44" t="s">
        <v>14</v>
      </c>
      <c r="G615" s="57" t="s">
        <v>15</v>
      </c>
      <c r="H615" s="175" t="s">
        <v>45</v>
      </c>
      <c r="I615" s="3"/>
    </row>
    <row r="616" spans="1:11" ht="14.4" x14ac:dyDescent="0.3">
      <c r="A616" s="3"/>
      <c r="B616" s="111"/>
      <c r="C616" s="113"/>
      <c r="D616" s="165" t="s">
        <v>20</v>
      </c>
      <c r="E616" s="165"/>
      <c r="F616" s="165"/>
      <c r="G616" s="165"/>
      <c r="H616" s="175"/>
      <c r="I616" s="3"/>
    </row>
    <row r="617" spans="1:11" ht="14.4" x14ac:dyDescent="0.3">
      <c r="A617" s="3"/>
      <c r="B617" s="33">
        <v>4</v>
      </c>
      <c r="C617" s="58" t="s">
        <v>21</v>
      </c>
      <c r="D617" s="23">
        <v>0</v>
      </c>
      <c r="E617" s="23">
        <v>0</v>
      </c>
      <c r="F617" s="23">
        <v>0</v>
      </c>
      <c r="G617" s="23">
        <v>0</v>
      </c>
      <c r="H617" s="62" t="s">
        <v>45</v>
      </c>
      <c r="I617" s="3"/>
    </row>
    <row r="618" spans="1:11" ht="14.4" x14ac:dyDescent="0.3">
      <c r="A618" s="3"/>
      <c r="B618" s="63">
        <v>5</v>
      </c>
      <c r="C618" s="64" t="s">
        <v>22</v>
      </c>
      <c r="D618" s="59">
        <v>2504.5</v>
      </c>
      <c r="E618" s="23">
        <v>0</v>
      </c>
      <c r="F618" s="60">
        <f>+E618+D618</f>
        <v>2504.5</v>
      </c>
      <c r="G618" s="61">
        <f>+F618</f>
        <v>2504.5</v>
      </c>
      <c r="H618" s="62" t="s">
        <v>45</v>
      </c>
      <c r="I618" s="3"/>
    </row>
    <row r="619" spans="1:11" ht="14.4" x14ac:dyDescent="0.3">
      <c r="A619" s="3"/>
      <c r="B619" s="63">
        <v>6</v>
      </c>
      <c r="C619" s="64" t="s">
        <v>23</v>
      </c>
      <c r="D619" s="23">
        <v>0</v>
      </c>
      <c r="E619" s="23">
        <v>0</v>
      </c>
      <c r="F619" s="60">
        <f>+E619+D619</f>
        <v>0</v>
      </c>
      <c r="G619" s="61">
        <f>+F619+G618</f>
        <v>2504.5</v>
      </c>
      <c r="H619" s="62" t="s">
        <v>45</v>
      </c>
      <c r="I619" s="3"/>
    </row>
    <row r="620" spans="1:11" ht="14.4" x14ac:dyDescent="0.3">
      <c r="A620" s="3"/>
      <c r="B620" s="63">
        <v>7</v>
      </c>
      <c r="C620" s="64" t="s">
        <v>24</v>
      </c>
      <c r="D620" s="59">
        <v>28710.5</v>
      </c>
      <c r="E620" s="23">
        <v>0</v>
      </c>
      <c r="F620" s="60">
        <f>+E620+D620</f>
        <v>28710.5</v>
      </c>
      <c r="G620" s="61">
        <f>+F620+G619</f>
        <v>31215</v>
      </c>
      <c r="H620" s="62" t="s">
        <v>45</v>
      </c>
      <c r="I620" s="3"/>
    </row>
    <row r="621" spans="1:11" ht="14.4" x14ac:dyDescent="0.3">
      <c r="A621" s="3"/>
      <c r="B621" s="33">
        <v>8</v>
      </c>
      <c r="C621" s="31" t="s">
        <v>25</v>
      </c>
      <c r="D621" s="23">
        <v>1769.51</v>
      </c>
      <c r="E621" s="23">
        <v>0</v>
      </c>
      <c r="F621" s="60">
        <f>+E621+D621</f>
        <v>1769.51</v>
      </c>
      <c r="G621" s="61">
        <f>+F621+G620</f>
        <v>32984.51</v>
      </c>
      <c r="H621" s="62"/>
      <c r="I621" s="10"/>
      <c r="J621" s="3"/>
      <c r="K621" s="3"/>
    </row>
    <row r="622" spans="1:11" s="3" customFormat="1" ht="14.4" x14ac:dyDescent="0.3">
      <c r="B622" s="33">
        <v>9</v>
      </c>
      <c r="C622" s="31" t="s">
        <v>26</v>
      </c>
      <c r="D622" s="23">
        <v>0</v>
      </c>
      <c r="E622" s="23">
        <v>0</v>
      </c>
      <c r="F622" s="40">
        <f t="shared" ref="F622:F641" si="63">+E622+D622</f>
        <v>0</v>
      </c>
      <c r="G622" s="65">
        <f t="shared" ref="G622:G641" si="64">+G621+F622</f>
        <v>32984.51</v>
      </c>
      <c r="H622" s="62"/>
      <c r="I622" s="35"/>
      <c r="J622" s="35"/>
    </row>
    <row r="623" spans="1:11" s="3" customFormat="1" ht="14.4" x14ac:dyDescent="0.3">
      <c r="B623" s="33">
        <v>10</v>
      </c>
      <c r="C623" s="31" t="s">
        <v>55</v>
      </c>
      <c r="D623" s="23">
        <v>660.5</v>
      </c>
      <c r="E623" s="23">
        <v>0</v>
      </c>
      <c r="F623" s="40">
        <f t="shared" si="63"/>
        <v>660.5</v>
      </c>
      <c r="G623" s="65">
        <f t="shared" si="64"/>
        <v>33645.01</v>
      </c>
      <c r="H623" s="62"/>
      <c r="I623" s="35"/>
      <c r="J623" s="35"/>
    </row>
    <row r="624" spans="1:11" s="3" customFormat="1" ht="14.4" x14ac:dyDescent="0.3">
      <c r="B624" s="33">
        <v>11</v>
      </c>
      <c r="C624" s="31" t="s">
        <v>56</v>
      </c>
      <c r="D624" s="23">
        <v>30369.51</v>
      </c>
      <c r="E624" s="23">
        <v>0</v>
      </c>
      <c r="F624" s="40">
        <f t="shared" si="63"/>
        <v>30369.51</v>
      </c>
      <c r="G624" s="65">
        <f t="shared" si="64"/>
        <v>64014.520000000004</v>
      </c>
      <c r="H624" s="62"/>
      <c r="I624" s="35"/>
      <c r="J624" s="35"/>
    </row>
    <row r="625" spans="2:10" s="3" customFormat="1" ht="14.4" x14ac:dyDescent="0.3">
      <c r="B625" s="33">
        <v>12</v>
      </c>
      <c r="C625" s="31" t="s">
        <v>71</v>
      </c>
      <c r="D625" s="23">
        <v>7265.01</v>
      </c>
      <c r="E625" s="23">
        <v>0</v>
      </c>
      <c r="F625" s="40">
        <f t="shared" si="63"/>
        <v>7265.01</v>
      </c>
      <c r="G625" s="65">
        <f t="shared" si="64"/>
        <v>71279.53</v>
      </c>
      <c r="H625" s="62"/>
      <c r="I625" s="35"/>
      <c r="J625" s="35"/>
    </row>
    <row r="626" spans="2:10" s="3" customFormat="1" ht="14.4" x14ac:dyDescent="0.3">
      <c r="B626" s="33">
        <v>13</v>
      </c>
      <c r="C626" s="31" t="s">
        <v>57</v>
      </c>
      <c r="D626" s="23">
        <v>17882.509999999998</v>
      </c>
      <c r="E626" s="23">
        <v>0</v>
      </c>
      <c r="F626" s="40">
        <f t="shared" si="63"/>
        <v>17882.509999999998</v>
      </c>
      <c r="G626" s="65">
        <f t="shared" si="64"/>
        <v>89162.04</v>
      </c>
      <c r="H626" s="62"/>
      <c r="I626" s="35"/>
      <c r="J626" s="35"/>
    </row>
    <row r="627" spans="2:10" s="3" customFormat="1" ht="15" customHeight="1" x14ac:dyDescent="0.3">
      <c r="B627" s="33">
        <v>14</v>
      </c>
      <c r="C627" s="49" t="s">
        <v>58</v>
      </c>
      <c r="D627" s="23">
        <v>11795.52</v>
      </c>
      <c r="E627" s="23">
        <v>0</v>
      </c>
      <c r="F627" s="40">
        <f t="shared" si="63"/>
        <v>11795.52</v>
      </c>
      <c r="G627" s="65">
        <f t="shared" si="64"/>
        <v>100957.56</v>
      </c>
      <c r="H627" s="62"/>
      <c r="I627" s="35"/>
      <c r="J627" s="35"/>
    </row>
    <row r="628" spans="2:10" s="3" customFormat="1" ht="14.4" x14ac:dyDescent="0.3">
      <c r="B628" s="33">
        <v>15</v>
      </c>
      <c r="C628" s="31" t="s">
        <v>59</v>
      </c>
      <c r="D628" s="23">
        <v>0</v>
      </c>
      <c r="E628" s="23">
        <v>0</v>
      </c>
      <c r="F628" s="40">
        <f t="shared" si="63"/>
        <v>0</v>
      </c>
      <c r="G628" s="65">
        <f t="shared" si="64"/>
        <v>100957.56</v>
      </c>
      <c r="H628" s="62"/>
      <c r="I628" s="35"/>
      <c r="J628" s="35"/>
    </row>
    <row r="629" spans="2:10" s="3" customFormat="1" ht="14.4" x14ac:dyDescent="0.3">
      <c r="B629" s="33">
        <v>16</v>
      </c>
      <c r="C629" s="31" t="s">
        <v>60</v>
      </c>
      <c r="D629" s="23">
        <v>0</v>
      </c>
      <c r="E629" s="23">
        <v>0</v>
      </c>
      <c r="F629" s="40">
        <f t="shared" si="63"/>
        <v>0</v>
      </c>
      <c r="G629" s="65">
        <f t="shared" si="64"/>
        <v>100957.56</v>
      </c>
      <c r="H629" s="62"/>
      <c r="I629" s="35"/>
      <c r="J629" s="35"/>
    </row>
    <row r="630" spans="2:10" s="3" customFormat="1" ht="14.4" x14ac:dyDescent="0.3">
      <c r="B630" s="33">
        <v>17</v>
      </c>
      <c r="C630" s="31" t="s">
        <v>61</v>
      </c>
      <c r="D630" s="23">
        <v>0</v>
      </c>
      <c r="E630" s="23">
        <v>0</v>
      </c>
      <c r="F630" s="40">
        <f t="shared" si="63"/>
        <v>0</v>
      </c>
      <c r="G630" s="65">
        <f t="shared" si="64"/>
        <v>100957.56</v>
      </c>
      <c r="H630" s="62"/>
      <c r="I630" s="35"/>
      <c r="J630" s="35"/>
    </row>
    <row r="631" spans="2:10" s="3" customFormat="1" ht="14.4" x14ac:dyDescent="0.3">
      <c r="B631" s="33">
        <v>18</v>
      </c>
      <c r="C631" s="31" t="s">
        <v>62</v>
      </c>
      <c r="D631" s="23">
        <v>0</v>
      </c>
      <c r="E631" s="23">
        <v>0</v>
      </c>
      <c r="F631" s="40">
        <f t="shared" si="63"/>
        <v>0</v>
      </c>
      <c r="G631" s="65">
        <f t="shared" si="64"/>
        <v>100957.56</v>
      </c>
      <c r="H631" s="62"/>
      <c r="I631" s="35"/>
      <c r="J631" s="35"/>
    </row>
    <row r="632" spans="2:10" s="3" customFormat="1" ht="14.4" x14ac:dyDescent="0.3">
      <c r="B632" s="33">
        <v>19</v>
      </c>
      <c r="C632" s="31" t="s">
        <v>63</v>
      </c>
      <c r="D632" s="23">
        <v>0</v>
      </c>
      <c r="E632" s="23">
        <v>0</v>
      </c>
      <c r="F632" s="40">
        <f t="shared" si="63"/>
        <v>0</v>
      </c>
      <c r="G632" s="65">
        <f t="shared" si="64"/>
        <v>100957.56</v>
      </c>
      <c r="H632" s="62"/>
      <c r="I632" s="35"/>
      <c r="J632" s="35"/>
    </row>
    <row r="633" spans="2:10" s="3" customFormat="1" ht="14.4" x14ac:dyDescent="0.3">
      <c r="B633" s="33">
        <v>20</v>
      </c>
      <c r="C633" s="31" t="s">
        <v>64</v>
      </c>
      <c r="D633" s="23">
        <v>0</v>
      </c>
      <c r="E633" s="23">
        <v>0</v>
      </c>
      <c r="F633" s="40">
        <f t="shared" si="63"/>
        <v>0</v>
      </c>
      <c r="G633" s="65">
        <f t="shared" si="64"/>
        <v>100957.56</v>
      </c>
      <c r="H633" s="62"/>
      <c r="I633" s="35"/>
      <c r="J633" s="35"/>
    </row>
    <row r="634" spans="2:10" s="3" customFormat="1" ht="14.4" x14ac:dyDescent="0.3">
      <c r="B634" s="33">
        <v>21</v>
      </c>
      <c r="C634" s="31" t="s">
        <v>65</v>
      </c>
      <c r="D634" s="23">
        <v>5113.5</v>
      </c>
      <c r="E634" s="23">
        <v>0</v>
      </c>
      <c r="F634" s="40">
        <f t="shared" si="63"/>
        <v>5113.5</v>
      </c>
      <c r="G634" s="65">
        <f t="shared" si="64"/>
        <v>106071.06</v>
      </c>
      <c r="H634" s="62"/>
      <c r="I634" s="35"/>
      <c r="J634" s="35"/>
    </row>
    <row r="635" spans="2:10" s="3" customFormat="1" ht="14.4" x14ac:dyDescent="0.3">
      <c r="B635" s="33">
        <v>22</v>
      </c>
      <c r="C635" s="31" t="s">
        <v>66</v>
      </c>
      <c r="D635" s="23">
        <v>0</v>
      </c>
      <c r="E635" s="23">
        <v>0</v>
      </c>
      <c r="F635" s="40">
        <f t="shared" si="63"/>
        <v>0</v>
      </c>
      <c r="G635" s="65">
        <f t="shared" si="64"/>
        <v>106071.06</v>
      </c>
      <c r="H635" s="62"/>
      <c r="I635" s="35"/>
      <c r="J635" s="35"/>
    </row>
    <row r="636" spans="2:10" s="3" customFormat="1" ht="14.4" x14ac:dyDescent="0.3">
      <c r="B636" s="33">
        <v>23</v>
      </c>
      <c r="C636" s="31" t="s">
        <v>67</v>
      </c>
      <c r="D636" s="23">
        <v>0</v>
      </c>
      <c r="E636" s="23">
        <v>0</v>
      </c>
      <c r="F636" s="40">
        <f t="shared" si="63"/>
        <v>0</v>
      </c>
      <c r="G636" s="65">
        <f t="shared" si="64"/>
        <v>106071.06</v>
      </c>
      <c r="H636" s="62"/>
      <c r="I636" s="35"/>
      <c r="J636" s="35"/>
    </row>
    <row r="637" spans="2:10" s="3" customFormat="1" ht="14.4" x14ac:dyDescent="0.3">
      <c r="B637" s="33">
        <v>24</v>
      </c>
      <c r="C637" s="31" t="s">
        <v>68</v>
      </c>
      <c r="D637" s="23">
        <v>0</v>
      </c>
      <c r="E637" s="23">
        <v>0</v>
      </c>
      <c r="F637" s="40">
        <f t="shared" si="63"/>
        <v>0</v>
      </c>
      <c r="G637" s="65">
        <f t="shared" si="64"/>
        <v>106071.06</v>
      </c>
      <c r="H637" s="62"/>
      <c r="I637" s="35"/>
      <c r="J637" s="35"/>
    </row>
    <row r="638" spans="2:10" s="3" customFormat="1" ht="14.4" x14ac:dyDescent="0.3">
      <c r="B638" s="33">
        <v>25</v>
      </c>
      <c r="C638" s="67" t="s">
        <v>69</v>
      </c>
      <c r="D638" s="23">
        <v>0</v>
      </c>
      <c r="E638" s="23">
        <v>0</v>
      </c>
      <c r="F638" s="40">
        <f t="shared" si="63"/>
        <v>0</v>
      </c>
      <c r="G638" s="65">
        <f t="shared" si="64"/>
        <v>106071.06</v>
      </c>
      <c r="H638" s="62"/>
      <c r="I638" s="35"/>
      <c r="J638" s="35"/>
    </row>
    <row r="639" spans="2:10" s="3" customFormat="1" ht="14.4" x14ac:dyDescent="0.3">
      <c r="B639" s="33">
        <v>26</v>
      </c>
      <c r="C639" s="67" t="s">
        <v>70</v>
      </c>
      <c r="D639" s="94">
        <v>0</v>
      </c>
      <c r="E639" s="95">
        <v>0</v>
      </c>
      <c r="F639" s="96">
        <f t="shared" si="63"/>
        <v>0</v>
      </c>
      <c r="G639" s="98">
        <f t="shared" si="64"/>
        <v>106071.06</v>
      </c>
      <c r="H639" s="62"/>
      <c r="I639" s="35"/>
      <c r="J639" s="35"/>
    </row>
    <row r="640" spans="2:10" s="3" customFormat="1" ht="14.4" x14ac:dyDescent="0.3">
      <c r="B640" s="33">
        <v>27</v>
      </c>
      <c r="C640" s="31" t="s">
        <v>79</v>
      </c>
      <c r="D640" s="18">
        <v>0</v>
      </c>
      <c r="E640" s="18">
        <v>0</v>
      </c>
      <c r="F640" s="36">
        <f t="shared" si="63"/>
        <v>0</v>
      </c>
      <c r="G640" s="84">
        <f t="shared" si="64"/>
        <v>106071.06</v>
      </c>
      <c r="H640" s="62"/>
      <c r="I640" s="35"/>
      <c r="J640" s="35"/>
    </row>
    <row r="641" spans="1:12" s="3" customFormat="1" ht="13.2" customHeight="1" x14ac:dyDescent="0.3">
      <c r="B641" s="33">
        <v>28</v>
      </c>
      <c r="C641" s="67" t="s">
        <v>80</v>
      </c>
      <c r="D641" s="23">
        <v>0</v>
      </c>
      <c r="E641" s="23">
        <v>0</v>
      </c>
      <c r="F641" s="40">
        <f t="shared" si="63"/>
        <v>0</v>
      </c>
      <c r="G641" s="65">
        <f t="shared" si="64"/>
        <v>106071.06</v>
      </c>
      <c r="H641" s="62"/>
      <c r="I641" s="35"/>
      <c r="J641" s="35"/>
    </row>
    <row r="642" spans="1:12" s="3" customFormat="1" ht="13.2" customHeight="1" x14ac:dyDescent="0.3">
      <c r="B642" s="33">
        <v>29</v>
      </c>
      <c r="C642" s="67" t="s">
        <v>81</v>
      </c>
      <c r="D642" s="23">
        <v>0</v>
      </c>
      <c r="E642" s="23">
        <v>0</v>
      </c>
      <c r="F642" s="40">
        <f t="shared" ref="F642:F644" si="65">+E642+D642</f>
        <v>0</v>
      </c>
      <c r="G642" s="65">
        <f t="shared" ref="G642:G645" si="66">+G641+F642</f>
        <v>106071.06</v>
      </c>
      <c r="H642" s="62"/>
      <c r="I642" s="35"/>
      <c r="J642" s="35"/>
    </row>
    <row r="643" spans="1:12" s="3" customFormat="1" ht="13.2" customHeight="1" x14ac:dyDescent="0.3">
      <c r="B643" s="33">
        <v>30</v>
      </c>
      <c r="C643" s="67" t="s">
        <v>82</v>
      </c>
      <c r="D643" s="23">
        <v>0</v>
      </c>
      <c r="E643" s="23">
        <v>0</v>
      </c>
      <c r="F643" s="40">
        <f t="shared" si="65"/>
        <v>0</v>
      </c>
      <c r="G643" s="65">
        <f t="shared" si="66"/>
        <v>106071.06</v>
      </c>
      <c r="H643" s="62"/>
      <c r="I643" s="35"/>
      <c r="J643" s="35"/>
    </row>
    <row r="644" spans="1:12" s="3" customFormat="1" ht="15.6" customHeight="1" x14ac:dyDescent="0.3">
      <c r="B644" s="33">
        <v>31</v>
      </c>
      <c r="C644" s="67" t="s">
        <v>83</v>
      </c>
      <c r="D644" s="23">
        <v>0</v>
      </c>
      <c r="E644" s="23">
        <v>0</v>
      </c>
      <c r="F644" s="40">
        <f t="shared" si="65"/>
        <v>0</v>
      </c>
      <c r="G644" s="65">
        <f t="shared" si="66"/>
        <v>106071.06</v>
      </c>
      <c r="H644" s="62"/>
      <c r="I644" s="35"/>
      <c r="J644" s="35"/>
    </row>
    <row r="645" spans="1:12" s="3" customFormat="1" ht="13.2" customHeight="1" x14ac:dyDescent="0.3">
      <c r="B645" s="33">
        <v>32</v>
      </c>
      <c r="C645" s="67" t="s">
        <v>84</v>
      </c>
      <c r="D645" s="23">
        <v>0</v>
      </c>
      <c r="E645" s="23">
        <v>0</v>
      </c>
      <c r="F645" s="40">
        <f>+E645+D645</f>
        <v>0</v>
      </c>
      <c r="G645" s="65">
        <f t="shared" si="66"/>
        <v>106071.06</v>
      </c>
      <c r="H645" s="62"/>
      <c r="I645" s="35"/>
      <c r="J645" s="35"/>
    </row>
    <row r="646" spans="1:12" s="3" customFormat="1" ht="14.4" x14ac:dyDescent="0.3">
      <c r="B646" s="33">
        <v>33</v>
      </c>
      <c r="C646" s="67" t="s">
        <v>85</v>
      </c>
      <c r="D646" s="23">
        <v>0</v>
      </c>
      <c r="E646" s="23">
        <v>0</v>
      </c>
      <c r="F646" s="40">
        <f t="shared" ref="F646" si="67">+E646+D646</f>
        <v>0</v>
      </c>
      <c r="G646" s="65">
        <f>+G645+F646</f>
        <v>106071.06</v>
      </c>
      <c r="H646" s="62"/>
      <c r="I646" s="35"/>
      <c r="J646" s="35"/>
    </row>
    <row r="647" spans="1:12" s="3" customFormat="1" ht="14.4" x14ac:dyDescent="0.3">
      <c r="B647" s="33">
        <v>34</v>
      </c>
      <c r="C647" s="67" t="s">
        <v>87</v>
      </c>
      <c r="D647" s="23">
        <v>0</v>
      </c>
      <c r="E647" s="23">
        <v>0</v>
      </c>
      <c r="F647" s="40">
        <v>0</v>
      </c>
      <c r="G647" s="23">
        <f>+G646+F647</f>
        <v>106071.06</v>
      </c>
      <c r="H647" s="62"/>
      <c r="I647" s="35"/>
      <c r="J647" s="10"/>
      <c r="K647" s="1"/>
      <c r="L647" s="32"/>
    </row>
    <row r="648" spans="1:12" s="3" customFormat="1" ht="14.4" x14ac:dyDescent="0.3">
      <c r="B648" s="33">
        <v>35</v>
      </c>
      <c r="C648" s="67" t="s">
        <v>86</v>
      </c>
      <c r="D648" s="23">
        <v>0</v>
      </c>
      <c r="E648" s="23">
        <v>0</v>
      </c>
      <c r="F648" s="40">
        <f>+E648+D648</f>
        <v>0</v>
      </c>
      <c r="G648" s="40">
        <f>+G647+F648</f>
        <v>106071.06</v>
      </c>
      <c r="H648" s="62"/>
      <c r="I648" s="35"/>
      <c r="J648" s="10"/>
      <c r="K648" s="1"/>
      <c r="L648" s="32"/>
    </row>
    <row r="649" spans="1:12" ht="14.4" x14ac:dyDescent="0.3">
      <c r="A649" s="3"/>
      <c r="B649" s="5" t="s">
        <v>45</v>
      </c>
      <c r="C649" s="68" t="s">
        <v>45</v>
      </c>
      <c r="D649" s="69" t="s">
        <v>45</v>
      </c>
      <c r="E649" s="69" t="s">
        <v>45</v>
      </c>
      <c r="F649" s="69" t="s">
        <v>45</v>
      </c>
      <c r="G649" s="69" t="s">
        <v>45</v>
      </c>
      <c r="H649" s="6" t="s">
        <v>45</v>
      </c>
      <c r="I649" s="3"/>
    </row>
    <row r="650" spans="1:12" ht="14.4" x14ac:dyDescent="0.3">
      <c r="A650" s="3"/>
      <c r="B650" s="8" t="s">
        <v>27</v>
      </c>
      <c r="C650" s="70"/>
      <c r="D650" s="69" t="s">
        <v>45</v>
      </c>
      <c r="E650" s="69" t="s">
        <v>45</v>
      </c>
      <c r="F650" s="69" t="s">
        <v>45</v>
      </c>
      <c r="G650" s="69" t="s">
        <v>45</v>
      </c>
      <c r="H650" s="6" t="s">
        <v>45</v>
      </c>
      <c r="I650" s="3"/>
    </row>
    <row r="651" spans="1:12" ht="14.4" x14ac:dyDescent="0.3">
      <c r="A651" s="3"/>
      <c r="B651" s="9" t="s">
        <v>28</v>
      </c>
      <c r="C651" s="5"/>
      <c r="D651" s="6"/>
      <c r="E651" s="6"/>
      <c r="F651" s="71"/>
      <c r="G651" s="71"/>
      <c r="H651" s="72"/>
      <c r="I651" s="3"/>
    </row>
    <row r="652" spans="1:12" ht="14.4" x14ac:dyDescent="0.3">
      <c r="A652" s="3"/>
      <c r="B652" s="9" t="s">
        <v>29</v>
      </c>
      <c r="C652" s="5"/>
      <c r="D652" s="6"/>
      <c r="E652" s="6"/>
      <c r="F652" s="71"/>
      <c r="G652" s="69" t="s">
        <v>45</v>
      </c>
      <c r="H652" s="6" t="s">
        <v>45</v>
      </c>
      <c r="I652" s="3"/>
    </row>
    <row r="653" spans="1:12" ht="14.4" x14ac:dyDescent="0.3">
      <c r="A653" s="3"/>
      <c r="B653" s="9" t="s">
        <v>30</v>
      </c>
      <c r="C653" s="5"/>
      <c r="D653" s="6"/>
      <c r="E653" s="6"/>
      <c r="F653" s="69" t="s">
        <v>45</v>
      </c>
      <c r="G653" s="69" t="s">
        <v>45</v>
      </c>
      <c r="H653" s="6" t="s">
        <v>45</v>
      </c>
      <c r="I653" s="3"/>
    </row>
    <row r="654" spans="1:12" ht="14.4" x14ac:dyDescent="0.3">
      <c r="A654" s="3"/>
      <c r="B654" s="10"/>
      <c r="C654" s="73"/>
      <c r="D654" s="75"/>
      <c r="E654" s="75"/>
      <c r="F654" s="75"/>
      <c r="G654" s="75"/>
      <c r="H654" s="35"/>
      <c r="I654" s="3"/>
    </row>
    <row r="655" spans="1:12" ht="14.4" x14ac:dyDescent="0.3">
      <c r="A655" s="3"/>
      <c r="B655" s="10"/>
      <c r="C655" s="73"/>
      <c r="D655" s="75"/>
      <c r="E655" s="75"/>
      <c r="F655" s="75"/>
      <c r="G655" s="75"/>
      <c r="H655" s="35"/>
      <c r="I655" s="3"/>
    </row>
    <row r="656" spans="1:12" ht="18" x14ac:dyDescent="0.35">
      <c r="A656" s="3"/>
      <c r="C656" s="73"/>
      <c r="D656" s="182" t="s">
        <v>33</v>
      </c>
      <c r="E656" s="182"/>
      <c r="F656" s="182"/>
      <c r="G656" s="182"/>
      <c r="H656" s="182"/>
      <c r="I656" s="3"/>
    </row>
    <row r="657" spans="1:11" ht="15.6" x14ac:dyDescent="0.3">
      <c r="A657" s="28"/>
      <c r="B657" s="24" t="s">
        <v>45</v>
      </c>
      <c r="C657" s="74" t="s">
        <v>45</v>
      </c>
      <c r="D657" s="183" t="s">
        <v>52</v>
      </c>
      <c r="E657" s="183"/>
      <c r="F657" s="183"/>
      <c r="G657" s="183"/>
      <c r="H657" s="183"/>
      <c r="I657" s="28"/>
    </row>
    <row r="658" spans="1:11" ht="15.9" customHeight="1" x14ac:dyDescent="0.3">
      <c r="A658" s="3"/>
      <c r="B658" s="132" t="s">
        <v>89</v>
      </c>
      <c r="C658" s="132"/>
      <c r="D658" s="132"/>
      <c r="E658" s="132"/>
      <c r="F658" s="132"/>
      <c r="G658" s="132"/>
      <c r="H658" s="132"/>
      <c r="I658" s="3"/>
    </row>
    <row r="659" spans="1:11" ht="14.4" x14ac:dyDescent="0.3">
      <c r="A659" s="3"/>
      <c r="B659" s="14"/>
      <c r="C659" s="15"/>
      <c r="D659" s="152" t="s">
        <v>6</v>
      </c>
      <c r="E659" s="152"/>
      <c r="F659" s="152"/>
      <c r="G659" s="152"/>
      <c r="H659" s="180" t="s">
        <v>45</v>
      </c>
      <c r="I659" s="3"/>
    </row>
    <row r="660" spans="1:11" ht="14.4" x14ac:dyDescent="0.3">
      <c r="A660" s="3"/>
      <c r="B660" s="12"/>
      <c r="C660" s="13"/>
      <c r="D660" s="155" t="s">
        <v>9</v>
      </c>
      <c r="E660" s="155"/>
      <c r="F660" s="155"/>
      <c r="G660" s="155"/>
      <c r="H660" s="180"/>
      <c r="I660" s="3"/>
    </row>
    <row r="661" spans="1:11" ht="14.4" x14ac:dyDescent="0.3">
      <c r="A661" s="3"/>
      <c r="B661" s="111" t="s">
        <v>10</v>
      </c>
      <c r="C661" s="113" t="s">
        <v>11</v>
      </c>
      <c r="D661" s="44" t="s">
        <v>12</v>
      </c>
      <c r="E661" s="44" t="s">
        <v>13</v>
      </c>
      <c r="F661" s="44" t="s">
        <v>14</v>
      </c>
      <c r="G661" s="57" t="s">
        <v>15</v>
      </c>
      <c r="H661" s="175" t="s">
        <v>45</v>
      </c>
      <c r="I661" s="3"/>
    </row>
    <row r="662" spans="1:11" ht="14.4" x14ac:dyDescent="0.3">
      <c r="A662" s="3"/>
      <c r="B662" s="111"/>
      <c r="C662" s="113"/>
      <c r="D662" s="165" t="s">
        <v>20</v>
      </c>
      <c r="E662" s="165"/>
      <c r="F662" s="165"/>
      <c r="G662" s="165"/>
      <c r="H662" s="175"/>
      <c r="I662" s="3"/>
    </row>
    <row r="663" spans="1:11" ht="14.4" x14ac:dyDescent="0.3">
      <c r="A663" s="3"/>
      <c r="B663" s="33">
        <v>4</v>
      </c>
      <c r="C663" s="58" t="s">
        <v>21</v>
      </c>
      <c r="D663" s="23">
        <v>0</v>
      </c>
      <c r="E663" s="23">
        <v>0</v>
      </c>
      <c r="F663" s="23">
        <v>0</v>
      </c>
      <c r="G663" s="23">
        <v>0</v>
      </c>
      <c r="H663" s="62" t="s">
        <v>45</v>
      </c>
      <c r="I663" s="3"/>
    </row>
    <row r="664" spans="1:11" ht="14.4" x14ac:dyDescent="0.3">
      <c r="A664" s="3"/>
      <c r="B664" s="63">
        <v>5</v>
      </c>
      <c r="C664" s="64" t="s">
        <v>22</v>
      </c>
      <c r="D664" s="59">
        <v>79374.570000000007</v>
      </c>
      <c r="E664" s="23">
        <v>0</v>
      </c>
      <c r="F664" s="60">
        <f>+E664+D664</f>
        <v>79374.570000000007</v>
      </c>
      <c r="G664" s="61">
        <f>+F664</f>
        <v>79374.570000000007</v>
      </c>
      <c r="H664" s="62" t="s">
        <v>45</v>
      </c>
      <c r="I664" s="3"/>
    </row>
    <row r="665" spans="1:11" ht="14.4" x14ac:dyDescent="0.3">
      <c r="A665" s="3"/>
      <c r="B665" s="63">
        <v>6</v>
      </c>
      <c r="C665" s="64" t="s">
        <v>23</v>
      </c>
      <c r="D665" s="59">
        <v>40542.06</v>
      </c>
      <c r="E665" s="23">
        <v>0</v>
      </c>
      <c r="F665" s="60">
        <f>+E665+D665</f>
        <v>40542.06</v>
      </c>
      <c r="G665" s="61">
        <f>+G664+F665</f>
        <v>119916.63</v>
      </c>
      <c r="H665" s="62" t="s">
        <v>45</v>
      </c>
      <c r="I665" s="3"/>
    </row>
    <row r="666" spans="1:11" ht="14.4" x14ac:dyDescent="0.3">
      <c r="A666" s="3"/>
      <c r="B666" s="63">
        <v>7</v>
      </c>
      <c r="C666" s="64" t="s">
        <v>24</v>
      </c>
      <c r="D666" s="59">
        <v>47346.080000000002</v>
      </c>
      <c r="E666" s="23">
        <v>0</v>
      </c>
      <c r="F666" s="60">
        <f>+E666+D666</f>
        <v>47346.080000000002</v>
      </c>
      <c r="G666" s="61">
        <f>+G665+F666</f>
        <v>167262.71000000002</v>
      </c>
      <c r="H666" s="62" t="s">
        <v>45</v>
      </c>
      <c r="I666" s="3"/>
    </row>
    <row r="667" spans="1:11" ht="14.4" x14ac:dyDescent="0.3">
      <c r="A667" s="3"/>
      <c r="B667" s="33">
        <v>8</v>
      </c>
      <c r="C667" s="31" t="s">
        <v>25</v>
      </c>
      <c r="D667" s="23">
        <f>14452.51</f>
        <v>14452.51</v>
      </c>
      <c r="E667" s="23">
        <v>0</v>
      </c>
      <c r="F667" s="60">
        <f>+E667+D667</f>
        <v>14452.51</v>
      </c>
      <c r="G667" s="61">
        <f>+G666+F667</f>
        <v>181715.22000000003</v>
      </c>
      <c r="H667" s="62"/>
      <c r="I667" s="10"/>
      <c r="J667" s="3"/>
      <c r="K667" s="3"/>
    </row>
    <row r="668" spans="1:11" s="3" customFormat="1" ht="14.4" x14ac:dyDescent="0.3">
      <c r="B668" s="33">
        <v>9</v>
      </c>
      <c r="C668" s="31" t="s">
        <v>26</v>
      </c>
      <c r="D668" s="23">
        <v>120349.63</v>
      </c>
      <c r="E668" s="23">
        <v>0</v>
      </c>
      <c r="F668" s="40">
        <f t="shared" ref="F668:F687" si="68">+E668+D668</f>
        <v>120349.63</v>
      </c>
      <c r="G668" s="65">
        <f t="shared" ref="G668:G687" si="69">+G667+F668</f>
        <v>302064.85000000003</v>
      </c>
      <c r="H668" s="62"/>
      <c r="I668" s="35"/>
      <c r="J668" s="35"/>
    </row>
    <row r="669" spans="1:11" s="3" customFormat="1" ht="14.4" x14ac:dyDescent="0.3">
      <c r="B669" s="33">
        <v>10</v>
      </c>
      <c r="C669" s="31" t="s">
        <v>55</v>
      </c>
      <c r="D669" s="23">
        <v>25050.54</v>
      </c>
      <c r="E669" s="23">
        <v>0</v>
      </c>
      <c r="F669" s="40">
        <f t="shared" si="68"/>
        <v>25050.54</v>
      </c>
      <c r="G669" s="65">
        <f t="shared" si="69"/>
        <v>327115.39</v>
      </c>
      <c r="H669" s="62"/>
      <c r="I669" s="35"/>
      <c r="J669" s="35"/>
    </row>
    <row r="670" spans="1:11" s="3" customFormat="1" ht="14.4" x14ac:dyDescent="0.3">
      <c r="B670" s="33">
        <v>11</v>
      </c>
      <c r="C670" s="31" t="s">
        <v>56</v>
      </c>
      <c r="D670" s="23">
        <v>63316.56</v>
      </c>
      <c r="E670" s="23">
        <v>0</v>
      </c>
      <c r="F670" s="40">
        <f t="shared" si="68"/>
        <v>63316.56</v>
      </c>
      <c r="G670" s="65">
        <f t="shared" si="69"/>
        <v>390431.95</v>
      </c>
      <c r="H670" s="62"/>
      <c r="I670" s="35"/>
      <c r="J670" s="35"/>
    </row>
    <row r="671" spans="1:11" s="3" customFormat="1" ht="14.4" x14ac:dyDescent="0.3">
      <c r="B671" s="33">
        <v>12</v>
      </c>
      <c r="C671" s="31" t="s">
        <v>71</v>
      </c>
      <c r="D671" s="23">
        <v>162467.62</v>
      </c>
      <c r="E671" s="23">
        <v>0</v>
      </c>
      <c r="F671" s="40">
        <f t="shared" si="68"/>
        <v>162467.62</v>
      </c>
      <c r="G671" s="65">
        <f t="shared" si="69"/>
        <v>552899.57000000007</v>
      </c>
      <c r="H671" s="62"/>
      <c r="I671" s="35"/>
      <c r="J671" s="35"/>
    </row>
    <row r="672" spans="1:11" s="3" customFormat="1" ht="14.4" x14ac:dyDescent="0.3">
      <c r="B672" s="33">
        <v>13</v>
      </c>
      <c r="C672" s="31" t="s">
        <v>57</v>
      </c>
      <c r="D672" s="23">
        <v>114003.62</v>
      </c>
      <c r="E672" s="23">
        <v>0</v>
      </c>
      <c r="F672" s="40">
        <f t="shared" si="68"/>
        <v>114003.62</v>
      </c>
      <c r="G672" s="65">
        <f t="shared" si="69"/>
        <v>666903.19000000006</v>
      </c>
      <c r="H672" s="62"/>
      <c r="I672" s="35"/>
      <c r="J672" s="35"/>
    </row>
    <row r="673" spans="2:10" s="3" customFormat="1" ht="15.6" customHeight="1" x14ac:dyDescent="0.3">
      <c r="B673" s="33">
        <v>14</v>
      </c>
      <c r="C673" s="49" t="s">
        <v>58</v>
      </c>
      <c r="D673" s="23">
        <v>21540.05</v>
      </c>
      <c r="E673" s="23">
        <v>0</v>
      </c>
      <c r="F673" s="40">
        <f t="shared" si="68"/>
        <v>21540.05</v>
      </c>
      <c r="G673" s="65">
        <f t="shared" si="69"/>
        <v>688443.24000000011</v>
      </c>
      <c r="H673" s="62"/>
      <c r="I673" s="35"/>
      <c r="J673" s="35"/>
    </row>
    <row r="674" spans="2:10" s="3" customFormat="1" ht="14.4" x14ac:dyDescent="0.3">
      <c r="B674" s="33">
        <v>15</v>
      </c>
      <c r="C674" s="31" t="s">
        <v>59</v>
      </c>
      <c r="D674" s="23">
        <v>17162</v>
      </c>
      <c r="E674" s="23">
        <v>0</v>
      </c>
      <c r="F674" s="40">
        <f t="shared" si="68"/>
        <v>17162</v>
      </c>
      <c r="G674" s="65">
        <f t="shared" si="69"/>
        <v>705605.24000000011</v>
      </c>
      <c r="H674" s="62"/>
      <c r="I674" s="35"/>
      <c r="J674" s="35"/>
    </row>
    <row r="675" spans="2:10" s="3" customFormat="1" ht="14.4" x14ac:dyDescent="0.3">
      <c r="B675" s="33">
        <v>16</v>
      </c>
      <c r="C675" s="31" t="s">
        <v>60</v>
      </c>
      <c r="D675" s="23">
        <v>68129.52</v>
      </c>
      <c r="E675" s="23">
        <v>0</v>
      </c>
      <c r="F675" s="40">
        <f t="shared" si="68"/>
        <v>68129.52</v>
      </c>
      <c r="G675" s="65">
        <f t="shared" si="69"/>
        <v>773734.76000000013</v>
      </c>
      <c r="H675" s="62"/>
      <c r="I675" s="35"/>
      <c r="J675" s="35"/>
    </row>
    <row r="676" spans="2:10" s="3" customFormat="1" ht="14.4" x14ac:dyDescent="0.3">
      <c r="B676" s="33">
        <v>17</v>
      </c>
      <c r="C676" s="31" t="s">
        <v>61</v>
      </c>
      <c r="D676" s="23">
        <v>29959.02</v>
      </c>
      <c r="E676" s="23">
        <v>0</v>
      </c>
      <c r="F676" s="40">
        <f t="shared" si="68"/>
        <v>29959.02</v>
      </c>
      <c r="G676" s="65">
        <f t="shared" si="69"/>
        <v>803693.78000000014</v>
      </c>
      <c r="H676" s="62"/>
      <c r="I676" s="35"/>
      <c r="J676" s="35"/>
    </row>
    <row r="677" spans="2:10" s="3" customFormat="1" ht="14.4" x14ac:dyDescent="0.3">
      <c r="B677" s="33">
        <v>18</v>
      </c>
      <c r="C677" s="31" t="s">
        <v>62</v>
      </c>
      <c r="D677" s="23">
        <v>15322.01</v>
      </c>
      <c r="E677" s="23">
        <v>0</v>
      </c>
      <c r="F677" s="40">
        <f t="shared" si="68"/>
        <v>15322.01</v>
      </c>
      <c r="G677" s="65">
        <f t="shared" si="69"/>
        <v>819015.79000000015</v>
      </c>
      <c r="H677" s="62"/>
      <c r="I677" s="35"/>
      <c r="J677" s="35"/>
    </row>
    <row r="678" spans="2:10" s="3" customFormat="1" ht="14.4" x14ac:dyDescent="0.3">
      <c r="B678" s="33">
        <v>19</v>
      </c>
      <c r="C678" s="31" t="s">
        <v>63</v>
      </c>
      <c r="D678" s="23">
        <v>0</v>
      </c>
      <c r="E678" s="23">
        <v>0</v>
      </c>
      <c r="F678" s="40">
        <f t="shared" si="68"/>
        <v>0</v>
      </c>
      <c r="G678" s="65">
        <f t="shared" si="69"/>
        <v>819015.79000000015</v>
      </c>
      <c r="H678" s="62"/>
      <c r="I678" s="35"/>
      <c r="J678" s="35"/>
    </row>
    <row r="679" spans="2:10" s="3" customFormat="1" ht="14.4" x14ac:dyDescent="0.3">
      <c r="B679" s="33">
        <v>20</v>
      </c>
      <c r="C679" s="31" t="s">
        <v>64</v>
      </c>
      <c r="D679" s="23">
        <v>0</v>
      </c>
      <c r="E679" s="23">
        <v>0</v>
      </c>
      <c r="F679" s="40">
        <f t="shared" si="68"/>
        <v>0</v>
      </c>
      <c r="G679" s="65">
        <f t="shared" si="69"/>
        <v>819015.79000000015</v>
      </c>
      <c r="H679" s="62"/>
      <c r="I679" s="35"/>
      <c r="J679" s="35"/>
    </row>
    <row r="680" spans="2:10" s="3" customFormat="1" ht="14.4" x14ac:dyDescent="0.3">
      <c r="B680" s="33">
        <v>21</v>
      </c>
      <c r="C680" s="31" t="s">
        <v>65</v>
      </c>
      <c r="D680" s="23">
        <v>0</v>
      </c>
      <c r="E680" s="23">
        <v>0</v>
      </c>
      <c r="F680" s="40">
        <f t="shared" si="68"/>
        <v>0</v>
      </c>
      <c r="G680" s="65">
        <f t="shared" si="69"/>
        <v>819015.79000000015</v>
      </c>
      <c r="H680" s="62"/>
      <c r="I680" s="35"/>
      <c r="J680" s="35"/>
    </row>
    <row r="681" spans="2:10" s="3" customFormat="1" ht="14.4" x14ac:dyDescent="0.3">
      <c r="B681" s="33">
        <v>22</v>
      </c>
      <c r="C681" s="31" t="s">
        <v>66</v>
      </c>
      <c r="D681" s="23">
        <v>0</v>
      </c>
      <c r="E681" s="23">
        <v>0</v>
      </c>
      <c r="F681" s="40">
        <f t="shared" si="68"/>
        <v>0</v>
      </c>
      <c r="G681" s="65">
        <f t="shared" si="69"/>
        <v>819015.79000000015</v>
      </c>
      <c r="H681" s="62"/>
      <c r="I681" s="35"/>
      <c r="J681" s="35"/>
    </row>
    <row r="682" spans="2:10" s="3" customFormat="1" ht="14.4" x14ac:dyDescent="0.3">
      <c r="B682" s="33">
        <v>23</v>
      </c>
      <c r="C682" s="31" t="s">
        <v>67</v>
      </c>
      <c r="D682" s="23">
        <v>0</v>
      </c>
      <c r="E682" s="23">
        <v>0</v>
      </c>
      <c r="F682" s="40">
        <f t="shared" si="68"/>
        <v>0</v>
      </c>
      <c r="G682" s="65">
        <f t="shared" si="69"/>
        <v>819015.79000000015</v>
      </c>
      <c r="H682" s="62"/>
      <c r="I682" s="35"/>
      <c r="J682" s="35"/>
    </row>
    <row r="683" spans="2:10" s="3" customFormat="1" ht="14.4" x14ac:dyDescent="0.3">
      <c r="B683" s="33">
        <v>24</v>
      </c>
      <c r="C683" s="31" t="s">
        <v>68</v>
      </c>
      <c r="D683" s="23">
        <v>0</v>
      </c>
      <c r="E683" s="23">
        <v>0</v>
      </c>
      <c r="F683" s="40">
        <f t="shared" si="68"/>
        <v>0</v>
      </c>
      <c r="G683" s="65">
        <f t="shared" si="69"/>
        <v>819015.79000000015</v>
      </c>
      <c r="H683" s="62"/>
      <c r="I683" s="35"/>
      <c r="J683" s="35"/>
    </row>
    <row r="684" spans="2:10" s="3" customFormat="1" ht="14.4" x14ac:dyDescent="0.3">
      <c r="B684" s="33">
        <v>25</v>
      </c>
      <c r="C684" s="67" t="s">
        <v>69</v>
      </c>
      <c r="D684" s="23">
        <v>0</v>
      </c>
      <c r="E684" s="23">
        <v>0</v>
      </c>
      <c r="F684" s="40">
        <f t="shared" si="68"/>
        <v>0</v>
      </c>
      <c r="G684" s="65">
        <f t="shared" si="69"/>
        <v>819015.79000000015</v>
      </c>
      <c r="H684" s="62"/>
      <c r="I684" s="35"/>
      <c r="J684" s="35"/>
    </row>
    <row r="685" spans="2:10" s="3" customFormat="1" ht="14.4" x14ac:dyDescent="0.3">
      <c r="B685" s="33">
        <v>26</v>
      </c>
      <c r="C685" s="67" t="s">
        <v>70</v>
      </c>
      <c r="D685" s="94">
        <v>0</v>
      </c>
      <c r="E685" s="95">
        <v>0</v>
      </c>
      <c r="F685" s="96">
        <f t="shared" si="68"/>
        <v>0</v>
      </c>
      <c r="G685" s="98">
        <f t="shared" si="69"/>
        <v>819015.79000000015</v>
      </c>
      <c r="H685" s="62"/>
      <c r="I685" s="35"/>
      <c r="J685" s="35"/>
    </row>
    <row r="686" spans="2:10" s="3" customFormat="1" ht="14.4" x14ac:dyDescent="0.3">
      <c r="B686" s="33">
        <v>27</v>
      </c>
      <c r="C686" s="31" t="s">
        <v>79</v>
      </c>
      <c r="D686" s="18">
        <v>0</v>
      </c>
      <c r="E686" s="18">
        <v>0</v>
      </c>
      <c r="F686" s="36">
        <f t="shared" si="68"/>
        <v>0</v>
      </c>
      <c r="G686" s="84">
        <f t="shared" si="69"/>
        <v>819015.79000000015</v>
      </c>
      <c r="H686" s="62"/>
      <c r="I686" s="35"/>
      <c r="J686" s="35"/>
    </row>
    <row r="687" spans="2:10" s="3" customFormat="1" ht="13.2" customHeight="1" x14ac:dyDescent="0.3">
      <c r="B687" s="33">
        <v>28</v>
      </c>
      <c r="C687" s="67" t="s">
        <v>80</v>
      </c>
      <c r="D687" s="23">
        <v>0</v>
      </c>
      <c r="E687" s="23">
        <v>0</v>
      </c>
      <c r="F687" s="40">
        <f t="shared" si="68"/>
        <v>0</v>
      </c>
      <c r="G687" s="65">
        <f t="shared" si="69"/>
        <v>819015.79000000015</v>
      </c>
      <c r="H687" s="62"/>
      <c r="I687" s="35"/>
      <c r="J687" s="35"/>
    </row>
    <row r="688" spans="2:10" s="3" customFormat="1" ht="13.2" customHeight="1" x14ac:dyDescent="0.3">
      <c r="B688" s="33">
        <v>29</v>
      </c>
      <c r="C688" s="67" t="s">
        <v>81</v>
      </c>
      <c r="D688" s="23">
        <v>0</v>
      </c>
      <c r="E688" s="23">
        <v>0</v>
      </c>
      <c r="F688" s="40">
        <f t="shared" ref="F688:F692" si="70">+E688+D688</f>
        <v>0</v>
      </c>
      <c r="G688" s="65">
        <f t="shared" ref="G688:G691" si="71">+G687+F688</f>
        <v>819015.79000000015</v>
      </c>
      <c r="H688" s="62"/>
      <c r="I688" s="35"/>
      <c r="J688" s="35"/>
    </row>
    <row r="689" spans="1:12" s="3" customFormat="1" ht="13.2" customHeight="1" x14ac:dyDescent="0.3">
      <c r="B689" s="33">
        <v>30</v>
      </c>
      <c r="C689" s="67" t="s">
        <v>82</v>
      </c>
      <c r="D689" s="23">
        <v>0</v>
      </c>
      <c r="E689" s="23">
        <v>0</v>
      </c>
      <c r="F689" s="40">
        <f t="shared" si="70"/>
        <v>0</v>
      </c>
      <c r="G689" s="65">
        <f t="shared" si="71"/>
        <v>819015.79000000015</v>
      </c>
      <c r="H689" s="62"/>
      <c r="I689" s="35"/>
      <c r="J689" s="35"/>
    </row>
    <row r="690" spans="1:12" s="3" customFormat="1" ht="13.2" customHeight="1" x14ac:dyDescent="0.3">
      <c r="B690" s="33">
        <v>31</v>
      </c>
      <c r="C690" s="67" t="s">
        <v>83</v>
      </c>
      <c r="D690" s="23">
        <v>0</v>
      </c>
      <c r="E690" s="23">
        <v>0</v>
      </c>
      <c r="F690" s="40">
        <f t="shared" si="70"/>
        <v>0</v>
      </c>
      <c r="G690" s="65">
        <f t="shared" si="71"/>
        <v>819015.79000000015</v>
      </c>
      <c r="H690" s="62"/>
      <c r="I690" s="35"/>
      <c r="J690" s="35"/>
    </row>
    <row r="691" spans="1:12" s="3" customFormat="1" ht="13.2" customHeight="1" x14ac:dyDescent="0.3">
      <c r="B691" s="33">
        <v>32</v>
      </c>
      <c r="C691" s="67" t="s">
        <v>84</v>
      </c>
      <c r="D691" s="23">
        <v>0</v>
      </c>
      <c r="E691" s="23">
        <v>0</v>
      </c>
      <c r="F691" s="40">
        <f t="shared" si="70"/>
        <v>0</v>
      </c>
      <c r="G691" s="65">
        <f t="shared" si="71"/>
        <v>819015.79000000015</v>
      </c>
      <c r="H691" s="62"/>
      <c r="I691" s="35"/>
      <c r="J691" s="35"/>
    </row>
    <row r="692" spans="1:12" s="3" customFormat="1" ht="14.4" x14ac:dyDescent="0.3">
      <c r="B692" s="33">
        <v>33</v>
      </c>
      <c r="C692" s="67" t="s">
        <v>85</v>
      </c>
      <c r="D692" s="23">
        <v>0</v>
      </c>
      <c r="E692" s="23">
        <v>0</v>
      </c>
      <c r="F692" s="40">
        <f t="shared" si="70"/>
        <v>0</v>
      </c>
      <c r="G692" s="65">
        <f>+G691+F692</f>
        <v>819015.79000000015</v>
      </c>
      <c r="H692" s="62"/>
      <c r="I692" s="35"/>
      <c r="J692" s="35"/>
    </row>
    <row r="693" spans="1:12" s="3" customFormat="1" ht="14.4" x14ac:dyDescent="0.3">
      <c r="B693" s="33">
        <v>34</v>
      </c>
      <c r="C693" s="67" t="s">
        <v>87</v>
      </c>
      <c r="D693" s="23">
        <v>0</v>
      </c>
      <c r="E693" s="23">
        <v>0</v>
      </c>
      <c r="F693" s="40">
        <v>0</v>
      </c>
      <c r="G693" s="23">
        <f>+G692+F693</f>
        <v>819015.79000000015</v>
      </c>
      <c r="H693" s="62"/>
      <c r="I693" s="35"/>
      <c r="J693" s="10"/>
      <c r="K693" s="1"/>
      <c r="L693" s="32"/>
    </row>
    <row r="694" spans="1:12" s="3" customFormat="1" ht="14.4" x14ac:dyDescent="0.3">
      <c r="B694" s="33">
        <v>35</v>
      </c>
      <c r="C694" s="67" t="s">
        <v>86</v>
      </c>
      <c r="D694" s="23">
        <v>0</v>
      </c>
      <c r="E694" s="23">
        <v>0</v>
      </c>
      <c r="F694" s="40">
        <f>+E694+D694</f>
        <v>0</v>
      </c>
      <c r="G694" s="40">
        <f>+G693+F694</f>
        <v>819015.79000000015</v>
      </c>
      <c r="H694" s="62"/>
      <c r="I694" s="35"/>
      <c r="J694" s="10"/>
      <c r="K694" s="1"/>
      <c r="L694" s="32"/>
    </row>
    <row r="695" spans="1:12" ht="14.4" x14ac:dyDescent="0.3">
      <c r="A695" s="3"/>
      <c r="B695" s="5" t="s">
        <v>45</v>
      </c>
      <c r="C695" s="68" t="s">
        <v>45</v>
      </c>
      <c r="D695" s="69" t="s">
        <v>45</v>
      </c>
      <c r="E695" s="69" t="s">
        <v>45</v>
      </c>
      <c r="F695" s="69" t="s">
        <v>45</v>
      </c>
      <c r="G695" s="69" t="s">
        <v>45</v>
      </c>
      <c r="H695" s="6" t="s">
        <v>45</v>
      </c>
      <c r="I695" s="3"/>
    </row>
    <row r="696" spans="1:12" ht="14.4" x14ac:dyDescent="0.3">
      <c r="A696" s="3"/>
      <c r="B696" s="8" t="s">
        <v>27</v>
      </c>
      <c r="C696" s="70"/>
      <c r="D696" s="69" t="s">
        <v>45</v>
      </c>
      <c r="E696" s="69" t="s">
        <v>45</v>
      </c>
      <c r="F696" s="69" t="s">
        <v>45</v>
      </c>
      <c r="G696" s="69" t="s">
        <v>45</v>
      </c>
      <c r="H696" s="6" t="s">
        <v>45</v>
      </c>
      <c r="I696" s="3"/>
    </row>
    <row r="697" spans="1:12" ht="14.4" x14ac:dyDescent="0.3">
      <c r="A697" s="3"/>
      <c r="B697" s="9" t="s">
        <v>28</v>
      </c>
      <c r="C697" s="5"/>
      <c r="D697" s="6"/>
      <c r="E697" s="6"/>
      <c r="F697" s="71"/>
      <c r="G697" s="71"/>
      <c r="H697" s="72"/>
      <c r="I697" s="3"/>
    </row>
    <row r="698" spans="1:12" ht="14.4" x14ac:dyDescent="0.3">
      <c r="A698" s="3"/>
      <c r="B698" s="9" t="s">
        <v>29</v>
      </c>
      <c r="C698" s="5"/>
      <c r="D698" s="6"/>
      <c r="E698" s="6"/>
      <c r="F698" s="71"/>
      <c r="G698" s="69" t="s">
        <v>45</v>
      </c>
      <c r="H698" s="6" t="s">
        <v>45</v>
      </c>
      <c r="I698" s="3"/>
    </row>
    <row r="699" spans="1:12" ht="14.4" x14ac:dyDescent="0.3">
      <c r="A699" s="3"/>
      <c r="B699" s="9" t="s">
        <v>30</v>
      </c>
      <c r="C699" s="5"/>
      <c r="D699" s="6"/>
      <c r="E699" s="6"/>
      <c r="F699" s="69" t="s">
        <v>45</v>
      </c>
      <c r="G699" s="69" t="s">
        <v>45</v>
      </c>
      <c r="H699" s="6" t="s">
        <v>45</v>
      </c>
      <c r="I699" s="3"/>
    </row>
    <row r="700" spans="1:12" ht="14.4" x14ac:dyDescent="0.3">
      <c r="A700" s="3"/>
      <c r="B700" s="3"/>
      <c r="C700" s="54"/>
      <c r="D700" s="55"/>
      <c r="E700" s="55"/>
      <c r="F700" s="55"/>
      <c r="G700" s="55"/>
      <c r="H700" s="32"/>
      <c r="I700" s="3"/>
    </row>
    <row r="701" spans="1:12" ht="14.4" x14ac:dyDescent="0.3">
      <c r="A701" s="3"/>
      <c r="B701" s="3"/>
      <c r="C701" s="54"/>
      <c r="D701" s="55"/>
      <c r="E701" s="55"/>
      <c r="F701" s="55"/>
      <c r="G701" s="55"/>
      <c r="H701" s="32"/>
      <c r="I701" s="3"/>
    </row>
    <row r="702" spans="1:12" ht="18" x14ac:dyDescent="0.35">
      <c r="A702" s="3"/>
      <c r="C702" s="73"/>
      <c r="D702" s="177" t="s">
        <v>34</v>
      </c>
      <c r="E702" s="177"/>
      <c r="F702" s="177"/>
      <c r="G702" s="177"/>
      <c r="H702" s="177"/>
      <c r="I702" s="3"/>
    </row>
    <row r="703" spans="1:12" ht="15.6" x14ac:dyDescent="0.3">
      <c r="A703" s="28"/>
      <c r="B703" s="24" t="s">
        <v>45</v>
      </c>
      <c r="C703" s="74" t="s">
        <v>45</v>
      </c>
      <c r="D703" s="178" t="s">
        <v>52</v>
      </c>
      <c r="E703" s="178"/>
      <c r="F703" s="178"/>
      <c r="G703" s="178"/>
      <c r="H703" s="178"/>
      <c r="I703" s="28"/>
    </row>
    <row r="704" spans="1:12" ht="15.9" customHeight="1" x14ac:dyDescent="0.3">
      <c r="A704" s="3"/>
      <c r="B704" s="132" t="s">
        <v>89</v>
      </c>
      <c r="C704" s="132"/>
      <c r="D704" s="132"/>
      <c r="E704" s="132"/>
      <c r="F704" s="132"/>
      <c r="G704" s="132"/>
      <c r="H704" s="132"/>
      <c r="I704" s="3"/>
    </row>
    <row r="705" spans="1:13" ht="14.4" x14ac:dyDescent="0.3">
      <c r="A705" s="3"/>
      <c r="B705" s="14"/>
      <c r="C705" s="15"/>
      <c r="D705" s="152" t="s">
        <v>6</v>
      </c>
      <c r="E705" s="152"/>
      <c r="F705" s="152"/>
      <c r="G705" s="152"/>
      <c r="H705" s="180" t="s">
        <v>45</v>
      </c>
      <c r="I705" s="3"/>
    </row>
    <row r="706" spans="1:13" ht="14.4" x14ac:dyDescent="0.3">
      <c r="A706" s="3"/>
      <c r="B706" s="12"/>
      <c r="C706" s="13"/>
      <c r="D706" s="155" t="s">
        <v>9</v>
      </c>
      <c r="E706" s="155"/>
      <c r="F706" s="155"/>
      <c r="G706" s="155"/>
      <c r="H706" s="180"/>
      <c r="I706" s="3"/>
    </row>
    <row r="707" spans="1:13" ht="14.4" x14ac:dyDescent="0.3">
      <c r="A707" s="3"/>
      <c r="B707" s="111" t="s">
        <v>10</v>
      </c>
      <c r="C707" s="113" t="s">
        <v>11</v>
      </c>
      <c r="D707" s="44" t="s">
        <v>12</v>
      </c>
      <c r="E707" s="44" t="s">
        <v>13</v>
      </c>
      <c r="F707" s="44" t="s">
        <v>14</v>
      </c>
      <c r="G707" s="57" t="s">
        <v>15</v>
      </c>
      <c r="H707" s="175" t="s">
        <v>45</v>
      </c>
      <c r="I707" s="3"/>
    </row>
    <row r="708" spans="1:13" ht="14.4" x14ac:dyDescent="0.3">
      <c r="A708" s="3"/>
      <c r="B708" s="111"/>
      <c r="C708" s="113"/>
      <c r="D708" s="165" t="s">
        <v>20</v>
      </c>
      <c r="E708" s="165"/>
      <c r="F708" s="165"/>
      <c r="G708" s="165"/>
      <c r="H708" s="175"/>
      <c r="I708" s="3"/>
    </row>
    <row r="709" spans="1:13" ht="14.4" x14ac:dyDescent="0.3">
      <c r="A709" s="3"/>
      <c r="B709" s="33">
        <v>4</v>
      </c>
      <c r="C709" s="58" t="s">
        <v>21</v>
      </c>
      <c r="D709" s="59">
        <v>33002</v>
      </c>
      <c r="E709" s="23">
        <v>0</v>
      </c>
      <c r="F709" s="60">
        <f>+E709+D709</f>
        <v>33002</v>
      </c>
      <c r="G709" s="61">
        <f>+F709</f>
        <v>33002</v>
      </c>
      <c r="H709" s="62" t="s">
        <v>45</v>
      </c>
      <c r="I709" s="3"/>
    </row>
    <row r="710" spans="1:13" ht="14.4" x14ac:dyDescent="0.3">
      <c r="A710" s="3"/>
      <c r="B710" s="63">
        <v>5</v>
      </c>
      <c r="C710" s="64" t="s">
        <v>22</v>
      </c>
      <c r="D710" s="59">
        <v>50815.1</v>
      </c>
      <c r="E710" s="23">
        <v>0</v>
      </c>
      <c r="F710" s="60">
        <f>+E710+D710</f>
        <v>50815.1</v>
      </c>
      <c r="G710" s="61">
        <f>+G709+F710</f>
        <v>83817.100000000006</v>
      </c>
      <c r="H710" s="62" t="s">
        <v>45</v>
      </c>
      <c r="I710" s="3"/>
    </row>
    <row r="711" spans="1:13" ht="14.4" x14ac:dyDescent="0.3">
      <c r="A711" s="3"/>
      <c r="B711" s="63">
        <v>6</v>
      </c>
      <c r="C711" s="64" t="s">
        <v>23</v>
      </c>
      <c r="D711" s="59">
        <v>25972.55</v>
      </c>
      <c r="E711" s="23">
        <v>0</v>
      </c>
      <c r="F711" s="60">
        <f>+E711+D711</f>
        <v>25972.55</v>
      </c>
      <c r="G711" s="61">
        <f>+G710+F711</f>
        <v>109789.65000000001</v>
      </c>
      <c r="H711" s="62" t="s">
        <v>45</v>
      </c>
      <c r="I711" s="3"/>
    </row>
    <row r="712" spans="1:13" ht="14.4" x14ac:dyDescent="0.3">
      <c r="A712" s="3"/>
      <c r="B712" s="63">
        <v>7</v>
      </c>
      <c r="C712" s="64" t="s">
        <v>24</v>
      </c>
      <c r="D712" s="59">
        <v>36148.54</v>
      </c>
      <c r="E712" s="23">
        <v>0</v>
      </c>
      <c r="F712" s="60">
        <f>+E712+D712</f>
        <v>36148.54</v>
      </c>
      <c r="G712" s="61">
        <f>+G711+F712</f>
        <v>145938.19</v>
      </c>
      <c r="H712" s="62" t="s">
        <v>45</v>
      </c>
      <c r="I712" s="3"/>
    </row>
    <row r="713" spans="1:13" ht="14.4" x14ac:dyDescent="0.3">
      <c r="A713" s="3"/>
      <c r="B713" s="33">
        <v>8</v>
      </c>
      <c r="C713" s="31" t="s">
        <v>25</v>
      </c>
      <c r="D713" s="23">
        <v>100991.16</v>
      </c>
      <c r="E713" s="23">
        <v>0</v>
      </c>
      <c r="F713" s="60">
        <f>+E713+D713</f>
        <v>100991.16</v>
      </c>
      <c r="G713" s="61">
        <f>+G712+F713</f>
        <v>246929.35</v>
      </c>
      <c r="H713" s="62"/>
      <c r="I713" s="10"/>
      <c r="J713" s="3"/>
      <c r="K713" s="3"/>
    </row>
    <row r="714" spans="1:13" s="3" customFormat="1" ht="14.4" x14ac:dyDescent="0.3">
      <c r="B714" s="33">
        <v>9</v>
      </c>
      <c r="C714" s="31" t="s">
        <v>26</v>
      </c>
      <c r="D714" s="23">
        <v>35881.56</v>
      </c>
      <c r="E714" s="23">
        <v>0</v>
      </c>
      <c r="F714" s="40">
        <f t="shared" ref="F714:F733" si="72">+E714+D714</f>
        <v>35881.56</v>
      </c>
      <c r="G714" s="65">
        <f t="shared" ref="G714:G733" si="73">+G713+F714</f>
        <v>282810.91000000003</v>
      </c>
      <c r="H714" s="62"/>
      <c r="I714" s="35"/>
      <c r="J714" s="35"/>
    </row>
    <row r="715" spans="1:13" s="3" customFormat="1" ht="14.4" x14ac:dyDescent="0.3">
      <c r="B715" s="33">
        <v>10</v>
      </c>
      <c r="C715" s="80" t="s">
        <v>55</v>
      </c>
      <c r="D715" s="81">
        <v>21008.06</v>
      </c>
      <c r="E715" s="81">
        <v>0</v>
      </c>
      <c r="F715" s="82">
        <f t="shared" si="72"/>
        <v>21008.06</v>
      </c>
      <c r="G715" s="83">
        <f>+G714+F715</f>
        <v>303818.97000000003</v>
      </c>
      <c r="H715" s="62"/>
      <c r="I715" s="35"/>
      <c r="J715" s="35"/>
    </row>
    <row r="716" spans="1:13" ht="14.4" x14ac:dyDescent="0.3">
      <c r="B716" s="33">
        <v>11</v>
      </c>
      <c r="C716" s="58" t="s">
        <v>56</v>
      </c>
      <c r="D716" s="23">
        <v>49813</v>
      </c>
      <c r="E716" s="23">
        <v>0</v>
      </c>
      <c r="F716" s="40">
        <f t="shared" si="72"/>
        <v>49813</v>
      </c>
      <c r="G716" s="65">
        <f t="shared" ref="G716" si="74">+G715+F716</f>
        <v>353631.97000000003</v>
      </c>
      <c r="I716" s="73"/>
      <c r="J716" s="75"/>
      <c r="K716" s="75"/>
      <c r="L716" s="78"/>
      <c r="M716" s="75"/>
    </row>
    <row r="717" spans="1:13" s="3" customFormat="1" ht="14.4" x14ac:dyDescent="0.3">
      <c r="B717" s="63">
        <v>12</v>
      </c>
      <c r="C717" s="31" t="s">
        <v>71</v>
      </c>
      <c r="D717" s="18">
        <v>32327.05</v>
      </c>
      <c r="E717" s="18">
        <v>0</v>
      </c>
      <c r="F717" s="36">
        <f t="shared" si="72"/>
        <v>32327.05</v>
      </c>
      <c r="G717" s="84">
        <f>+G716+F717</f>
        <v>385959.02</v>
      </c>
      <c r="H717" s="62"/>
      <c r="I717" s="35"/>
      <c r="J717" s="35"/>
    </row>
    <row r="718" spans="1:13" s="3" customFormat="1" ht="14.4" x14ac:dyDescent="0.3">
      <c r="B718" s="33">
        <v>13</v>
      </c>
      <c r="C718" s="31" t="s">
        <v>57</v>
      </c>
      <c r="D718" s="23">
        <v>19436.52</v>
      </c>
      <c r="E718" s="23">
        <v>0</v>
      </c>
      <c r="F718" s="40">
        <f t="shared" si="72"/>
        <v>19436.52</v>
      </c>
      <c r="G718" s="65">
        <f t="shared" si="73"/>
        <v>405395.54000000004</v>
      </c>
      <c r="H718" s="62"/>
      <c r="I718" s="35"/>
      <c r="J718" s="35"/>
    </row>
    <row r="719" spans="1:13" s="3" customFormat="1" ht="18" customHeight="1" x14ac:dyDescent="0.3">
      <c r="B719" s="33">
        <v>14</v>
      </c>
      <c r="C719" s="49" t="s">
        <v>58</v>
      </c>
      <c r="D719" s="23">
        <v>51537.03</v>
      </c>
      <c r="E719" s="23">
        <v>0</v>
      </c>
      <c r="F719" s="40">
        <f t="shared" si="72"/>
        <v>51537.03</v>
      </c>
      <c r="G719" s="65">
        <f t="shared" si="73"/>
        <v>456932.57000000007</v>
      </c>
      <c r="H719" s="62"/>
      <c r="I719" s="35"/>
      <c r="J719" s="35"/>
    </row>
    <row r="720" spans="1:13" s="3" customFormat="1" ht="14.4" x14ac:dyDescent="0.3">
      <c r="B720" s="33">
        <v>15</v>
      </c>
      <c r="C720" s="31" t="s">
        <v>59</v>
      </c>
      <c r="D720" s="23">
        <v>24077</v>
      </c>
      <c r="E720" s="23">
        <v>0</v>
      </c>
      <c r="F720" s="40">
        <f t="shared" si="72"/>
        <v>24077</v>
      </c>
      <c r="G720" s="65">
        <f t="shared" si="73"/>
        <v>481009.57000000007</v>
      </c>
      <c r="H720" s="62"/>
      <c r="I720" s="35"/>
      <c r="J720" s="35"/>
    </row>
    <row r="721" spans="2:10" s="3" customFormat="1" ht="14.4" x14ac:dyDescent="0.3">
      <c r="B721" s="33">
        <v>16</v>
      </c>
      <c r="C721" s="31" t="s">
        <v>60</v>
      </c>
      <c r="D721" s="23">
        <v>16279</v>
      </c>
      <c r="E721" s="23">
        <v>0</v>
      </c>
      <c r="F721" s="40">
        <f t="shared" si="72"/>
        <v>16279</v>
      </c>
      <c r="G721" s="65">
        <f t="shared" si="73"/>
        <v>497288.57000000007</v>
      </c>
      <c r="H721" s="62"/>
      <c r="I721" s="35"/>
      <c r="J721" s="35"/>
    </row>
    <row r="722" spans="2:10" s="3" customFormat="1" ht="14.4" x14ac:dyDescent="0.3">
      <c r="B722" s="33">
        <v>17</v>
      </c>
      <c r="C722" s="31" t="s">
        <v>61</v>
      </c>
      <c r="D722" s="23">
        <v>0</v>
      </c>
      <c r="E722" s="23">
        <v>0</v>
      </c>
      <c r="F722" s="40">
        <f t="shared" si="72"/>
        <v>0</v>
      </c>
      <c r="G722" s="65">
        <f t="shared" si="73"/>
        <v>497288.57000000007</v>
      </c>
      <c r="H722" s="62"/>
      <c r="I722" s="35"/>
      <c r="J722" s="35"/>
    </row>
    <row r="723" spans="2:10" s="3" customFormat="1" ht="14.4" x14ac:dyDescent="0.3">
      <c r="B723" s="33">
        <v>18</v>
      </c>
      <c r="C723" s="31" t="s">
        <v>62</v>
      </c>
      <c r="D723" s="23">
        <v>0</v>
      </c>
      <c r="E723" s="23">
        <v>0</v>
      </c>
      <c r="F723" s="40">
        <f t="shared" si="72"/>
        <v>0</v>
      </c>
      <c r="G723" s="65">
        <f t="shared" si="73"/>
        <v>497288.57000000007</v>
      </c>
      <c r="H723" s="62"/>
      <c r="I723" s="35"/>
      <c r="J723" s="35"/>
    </row>
    <row r="724" spans="2:10" s="3" customFormat="1" ht="14.4" x14ac:dyDescent="0.3">
      <c r="B724" s="33">
        <v>19</v>
      </c>
      <c r="C724" s="31" t="s">
        <v>63</v>
      </c>
      <c r="D724" s="23">
        <v>0</v>
      </c>
      <c r="E724" s="23">
        <v>0</v>
      </c>
      <c r="F724" s="40">
        <f t="shared" si="72"/>
        <v>0</v>
      </c>
      <c r="G724" s="65">
        <f t="shared" si="73"/>
        <v>497288.57000000007</v>
      </c>
      <c r="H724" s="62"/>
      <c r="I724" s="35"/>
      <c r="J724" s="35"/>
    </row>
    <row r="725" spans="2:10" s="3" customFormat="1" ht="14.4" x14ac:dyDescent="0.3">
      <c r="B725" s="33">
        <v>20</v>
      </c>
      <c r="C725" s="31" t="s">
        <v>64</v>
      </c>
      <c r="D725" s="23">
        <v>0</v>
      </c>
      <c r="E725" s="23">
        <v>0</v>
      </c>
      <c r="F725" s="40">
        <f t="shared" si="72"/>
        <v>0</v>
      </c>
      <c r="G725" s="65">
        <f t="shared" si="73"/>
        <v>497288.57000000007</v>
      </c>
      <c r="H725" s="62"/>
      <c r="I725" s="35"/>
      <c r="J725" s="35"/>
    </row>
    <row r="726" spans="2:10" s="3" customFormat="1" ht="14.4" x14ac:dyDescent="0.3">
      <c r="B726" s="33">
        <v>21</v>
      </c>
      <c r="C726" s="31" t="s">
        <v>65</v>
      </c>
      <c r="D726" s="23">
        <v>0</v>
      </c>
      <c r="E726" s="23">
        <v>0</v>
      </c>
      <c r="F726" s="40">
        <f t="shared" si="72"/>
        <v>0</v>
      </c>
      <c r="G726" s="65">
        <f t="shared" si="73"/>
        <v>497288.57000000007</v>
      </c>
      <c r="H726" s="62"/>
      <c r="I726" s="35"/>
      <c r="J726" s="35"/>
    </row>
    <row r="727" spans="2:10" s="3" customFormat="1" ht="14.4" x14ac:dyDescent="0.3">
      <c r="B727" s="33">
        <v>22</v>
      </c>
      <c r="C727" s="31" t="s">
        <v>66</v>
      </c>
      <c r="D727" s="23">
        <v>0</v>
      </c>
      <c r="E727" s="23">
        <v>0</v>
      </c>
      <c r="F727" s="40">
        <f t="shared" si="72"/>
        <v>0</v>
      </c>
      <c r="G727" s="65">
        <f t="shared" si="73"/>
        <v>497288.57000000007</v>
      </c>
      <c r="H727" s="62"/>
      <c r="I727" s="35"/>
      <c r="J727" s="35"/>
    </row>
    <row r="728" spans="2:10" s="3" customFormat="1" ht="14.4" x14ac:dyDescent="0.3">
      <c r="B728" s="33">
        <v>23</v>
      </c>
      <c r="C728" s="31" t="s">
        <v>67</v>
      </c>
      <c r="D728" s="23">
        <v>0</v>
      </c>
      <c r="E728" s="23">
        <v>0</v>
      </c>
      <c r="F728" s="40">
        <f t="shared" si="72"/>
        <v>0</v>
      </c>
      <c r="G728" s="65">
        <f t="shared" si="73"/>
        <v>497288.57000000007</v>
      </c>
      <c r="H728" s="62"/>
      <c r="I728" s="35"/>
      <c r="J728" s="35"/>
    </row>
    <row r="729" spans="2:10" s="3" customFormat="1" ht="14.4" x14ac:dyDescent="0.3">
      <c r="B729" s="33">
        <v>24</v>
      </c>
      <c r="C729" s="31" t="s">
        <v>68</v>
      </c>
      <c r="D729" s="23">
        <v>0</v>
      </c>
      <c r="E729" s="23">
        <v>0</v>
      </c>
      <c r="F729" s="40">
        <f t="shared" si="72"/>
        <v>0</v>
      </c>
      <c r="G729" s="65">
        <f t="shared" si="73"/>
        <v>497288.57000000007</v>
      </c>
      <c r="H729" s="62"/>
      <c r="I729" s="35"/>
      <c r="J729" s="35"/>
    </row>
    <row r="730" spans="2:10" s="3" customFormat="1" ht="14.4" x14ac:dyDescent="0.3">
      <c r="B730" s="33">
        <v>25</v>
      </c>
      <c r="C730" s="67" t="s">
        <v>69</v>
      </c>
      <c r="D730" s="23">
        <v>0</v>
      </c>
      <c r="E730" s="23">
        <v>0</v>
      </c>
      <c r="F730" s="40">
        <f t="shared" si="72"/>
        <v>0</v>
      </c>
      <c r="G730" s="65">
        <f t="shared" si="73"/>
        <v>497288.57000000007</v>
      </c>
      <c r="H730" s="62"/>
      <c r="I730" s="35"/>
      <c r="J730" s="35"/>
    </row>
    <row r="731" spans="2:10" s="3" customFormat="1" ht="14.4" x14ac:dyDescent="0.3">
      <c r="B731" s="33">
        <v>26</v>
      </c>
      <c r="C731" s="67" t="s">
        <v>70</v>
      </c>
      <c r="D731" s="94">
        <v>0</v>
      </c>
      <c r="E731" s="95">
        <v>0</v>
      </c>
      <c r="F731" s="96">
        <f t="shared" si="72"/>
        <v>0</v>
      </c>
      <c r="G731" s="98">
        <f t="shared" si="73"/>
        <v>497288.57000000007</v>
      </c>
      <c r="H731" s="62"/>
      <c r="I731" s="35"/>
      <c r="J731" s="35"/>
    </row>
    <row r="732" spans="2:10" s="3" customFormat="1" ht="14.4" x14ac:dyDescent="0.3">
      <c r="B732" s="33">
        <v>27</v>
      </c>
      <c r="C732" s="31" t="s">
        <v>79</v>
      </c>
      <c r="D732" s="18">
        <v>0</v>
      </c>
      <c r="E732" s="18">
        <v>0</v>
      </c>
      <c r="F732" s="36">
        <f t="shared" si="72"/>
        <v>0</v>
      </c>
      <c r="G732" s="84">
        <f t="shared" si="73"/>
        <v>497288.57000000007</v>
      </c>
      <c r="H732" s="62"/>
      <c r="I732" s="35"/>
      <c r="J732" s="35"/>
    </row>
    <row r="733" spans="2:10" s="3" customFormat="1" ht="13.2" customHeight="1" x14ac:dyDescent="0.3">
      <c r="B733" s="33">
        <v>28</v>
      </c>
      <c r="C733" s="67" t="s">
        <v>80</v>
      </c>
      <c r="D733" s="23">
        <v>0</v>
      </c>
      <c r="E733" s="23">
        <v>0</v>
      </c>
      <c r="F733" s="40">
        <f t="shared" si="72"/>
        <v>0</v>
      </c>
      <c r="G733" s="65">
        <f t="shared" si="73"/>
        <v>497288.57000000007</v>
      </c>
      <c r="H733" s="62"/>
      <c r="I733" s="35"/>
      <c r="J733" s="35"/>
    </row>
    <row r="734" spans="2:10" s="3" customFormat="1" ht="13.2" customHeight="1" x14ac:dyDescent="0.3">
      <c r="B734" s="33">
        <v>29</v>
      </c>
      <c r="C734" s="67" t="s">
        <v>81</v>
      </c>
      <c r="D734" s="23">
        <v>0</v>
      </c>
      <c r="E734" s="23">
        <v>0</v>
      </c>
      <c r="F734" s="40">
        <f t="shared" ref="F734:F738" si="75">+E734+D734</f>
        <v>0</v>
      </c>
      <c r="G734" s="65">
        <f t="shared" ref="G734:G737" si="76">+G733+F734</f>
        <v>497288.57000000007</v>
      </c>
      <c r="H734" s="62"/>
      <c r="I734" s="35"/>
      <c r="J734" s="35"/>
    </row>
    <row r="735" spans="2:10" s="3" customFormat="1" ht="13.2" customHeight="1" x14ac:dyDescent="0.3">
      <c r="B735" s="33">
        <v>30</v>
      </c>
      <c r="C735" s="67" t="s">
        <v>82</v>
      </c>
      <c r="D735" s="23">
        <v>0</v>
      </c>
      <c r="E735" s="23">
        <v>0</v>
      </c>
      <c r="F735" s="40">
        <f t="shared" si="75"/>
        <v>0</v>
      </c>
      <c r="G735" s="65">
        <f t="shared" si="76"/>
        <v>497288.57000000007</v>
      </c>
      <c r="H735" s="62"/>
      <c r="I735" s="35"/>
      <c r="J735" s="35"/>
    </row>
    <row r="736" spans="2:10" s="3" customFormat="1" ht="13.2" customHeight="1" x14ac:dyDescent="0.3">
      <c r="B736" s="33">
        <v>31</v>
      </c>
      <c r="C736" s="67" t="s">
        <v>83</v>
      </c>
      <c r="D736" s="23">
        <v>0</v>
      </c>
      <c r="E736" s="23">
        <v>0</v>
      </c>
      <c r="F736" s="40">
        <f t="shared" si="75"/>
        <v>0</v>
      </c>
      <c r="G736" s="65">
        <f t="shared" si="76"/>
        <v>497288.57000000007</v>
      </c>
      <c r="H736" s="62"/>
      <c r="I736" s="35"/>
      <c r="J736" s="35"/>
    </row>
    <row r="737" spans="1:12" s="3" customFormat="1" ht="13.2" customHeight="1" x14ac:dyDescent="0.3">
      <c r="B737" s="33">
        <v>32</v>
      </c>
      <c r="C737" s="67" t="s">
        <v>84</v>
      </c>
      <c r="D737" s="23">
        <v>0</v>
      </c>
      <c r="E737" s="23">
        <v>0</v>
      </c>
      <c r="F737" s="40">
        <f t="shared" si="75"/>
        <v>0</v>
      </c>
      <c r="G737" s="65">
        <f t="shared" si="76"/>
        <v>497288.57000000007</v>
      </c>
      <c r="H737" s="62"/>
      <c r="I737" s="35"/>
      <c r="J737" s="35"/>
    </row>
    <row r="738" spans="1:12" s="3" customFormat="1" ht="14.4" x14ac:dyDescent="0.3">
      <c r="B738" s="33">
        <v>33</v>
      </c>
      <c r="C738" s="67" t="s">
        <v>85</v>
      </c>
      <c r="D738" s="23">
        <v>0</v>
      </c>
      <c r="E738" s="23">
        <v>0</v>
      </c>
      <c r="F738" s="40">
        <f t="shared" si="75"/>
        <v>0</v>
      </c>
      <c r="G738" s="65">
        <f>+G737+F738</f>
        <v>497288.57000000007</v>
      </c>
      <c r="H738" s="62"/>
      <c r="I738" s="35"/>
      <c r="J738" s="35"/>
    </row>
    <row r="739" spans="1:12" s="3" customFormat="1" ht="14.4" x14ac:dyDescent="0.3">
      <c r="B739" s="33">
        <v>34</v>
      </c>
      <c r="C739" s="67" t="s">
        <v>87</v>
      </c>
      <c r="D739" s="23">
        <v>0</v>
      </c>
      <c r="E739" s="23">
        <v>0</v>
      </c>
      <c r="F739" s="40">
        <v>0</v>
      </c>
      <c r="G739" s="23">
        <f>+G738+F739</f>
        <v>497288.57000000007</v>
      </c>
      <c r="H739" s="62"/>
      <c r="I739" s="35"/>
      <c r="J739" s="10"/>
      <c r="K739" s="1"/>
      <c r="L739" s="32"/>
    </row>
    <row r="740" spans="1:12" s="3" customFormat="1" ht="14.4" x14ac:dyDescent="0.3">
      <c r="B740" s="33">
        <v>35</v>
      </c>
      <c r="C740" s="67" t="s">
        <v>86</v>
      </c>
      <c r="D740" s="23">
        <v>0</v>
      </c>
      <c r="E740" s="23">
        <v>0</v>
      </c>
      <c r="F740" s="40">
        <f>+E740+D740</f>
        <v>0</v>
      </c>
      <c r="G740" s="40">
        <f>+G739+F740</f>
        <v>497288.57000000007</v>
      </c>
      <c r="H740" s="62"/>
      <c r="I740" s="35"/>
      <c r="J740" s="10"/>
      <c r="K740" s="1"/>
      <c r="L740" s="32"/>
    </row>
    <row r="741" spans="1:12" ht="14.4" x14ac:dyDescent="0.3">
      <c r="A741" s="3"/>
      <c r="B741" s="5" t="s">
        <v>45</v>
      </c>
      <c r="C741" s="68" t="s">
        <v>45</v>
      </c>
      <c r="D741" s="69" t="s">
        <v>45</v>
      </c>
      <c r="E741" s="69" t="s">
        <v>45</v>
      </c>
      <c r="F741" s="69" t="s">
        <v>45</v>
      </c>
      <c r="G741" s="69" t="s">
        <v>45</v>
      </c>
      <c r="H741" s="6" t="s">
        <v>45</v>
      </c>
      <c r="I741" s="3"/>
    </row>
    <row r="742" spans="1:12" ht="14.4" x14ac:dyDescent="0.3">
      <c r="A742" s="3"/>
      <c r="B742" s="8" t="s">
        <v>27</v>
      </c>
      <c r="C742" s="70"/>
      <c r="D742" s="69" t="s">
        <v>45</v>
      </c>
      <c r="E742" s="69" t="s">
        <v>45</v>
      </c>
      <c r="F742" s="69" t="s">
        <v>45</v>
      </c>
      <c r="G742" s="69" t="s">
        <v>45</v>
      </c>
      <c r="H742" s="6" t="s">
        <v>45</v>
      </c>
      <c r="I742" s="3"/>
    </row>
    <row r="743" spans="1:12" ht="14.4" x14ac:dyDescent="0.3">
      <c r="A743" s="3"/>
      <c r="B743" s="9" t="s">
        <v>28</v>
      </c>
      <c r="C743" s="5"/>
      <c r="D743" s="6"/>
      <c r="E743" s="6"/>
      <c r="F743" s="71"/>
      <c r="G743" s="71"/>
      <c r="H743" s="72"/>
      <c r="I743" s="3"/>
    </row>
    <row r="744" spans="1:12" ht="14.4" x14ac:dyDescent="0.3">
      <c r="A744" s="3"/>
      <c r="B744" s="9" t="s">
        <v>29</v>
      </c>
      <c r="C744" s="5"/>
      <c r="D744" s="6"/>
      <c r="E744" s="6"/>
      <c r="F744" s="71"/>
      <c r="G744" s="69" t="s">
        <v>45</v>
      </c>
      <c r="H744" s="6" t="s">
        <v>45</v>
      </c>
      <c r="I744" s="3"/>
    </row>
    <row r="745" spans="1:12" ht="14.4" x14ac:dyDescent="0.3">
      <c r="A745" s="3"/>
      <c r="B745" s="9" t="s">
        <v>30</v>
      </c>
      <c r="C745" s="5"/>
      <c r="D745" s="6"/>
      <c r="E745" s="6"/>
      <c r="F745" s="69" t="s">
        <v>45</v>
      </c>
      <c r="G745" s="69" t="s">
        <v>45</v>
      </c>
      <c r="H745" s="6" t="s">
        <v>45</v>
      </c>
      <c r="I745" s="3"/>
    </row>
    <row r="746" spans="1:12" ht="14.4" x14ac:dyDescent="0.3">
      <c r="A746" s="3"/>
      <c r="B746" s="3"/>
      <c r="C746" s="54"/>
      <c r="D746" s="55"/>
      <c r="E746" s="55"/>
      <c r="F746" s="55"/>
      <c r="G746" s="55"/>
      <c r="H746" s="32"/>
      <c r="I746" s="3"/>
    </row>
    <row r="747" spans="1:12" ht="14.4" x14ac:dyDescent="0.3">
      <c r="A747" s="3"/>
      <c r="B747" s="50" t="s">
        <v>53</v>
      </c>
      <c r="C747" s="51"/>
      <c r="D747" s="52"/>
      <c r="E747" s="52"/>
      <c r="F747" s="52"/>
      <c r="G747" s="52"/>
      <c r="H747" s="53"/>
      <c r="I747" s="3"/>
    </row>
    <row r="748" spans="1:12" ht="14.4" x14ac:dyDescent="0.3">
      <c r="A748" s="3"/>
      <c r="B748" s="50" t="s">
        <v>44</v>
      </c>
      <c r="C748" s="51"/>
      <c r="D748" s="52"/>
      <c r="E748" s="52" t="s">
        <v>45</v>
      </c>
      <c r="F748" s="52" t="s">
        <v>45</v>
      </c>
      <c r="G748" s="52" t="s">
        <v>45</v>
      </c>
      <c r="H748" s="53" t="s">
        <v>45</v>
      </c>
      <c r="I748" s="3"/>
    </row>
    <row r="749" spans="1:12" ht="14.4" x14ac:dyDescent="0.3">
      <c r="A749" s="3"/>
      <c r="B749" s="85"/>
      <c r="C749" s="86"/>
      <c r="D749" s="87"/>
      <c r="E749" s="87"/>
      <c r="F749" s="87"/>
      <c r="G749" s="87"/>
      <c r="H749" s="88"/>
      <c r="I749" s="3"/>
    </row>
    <row r="750" spans="1:12" ht="14.4" x14ac:dyDescent="0.3">
      <c r="A750" s="3"/>
      <c r="B750" s="3"/>
      <c r="C750" s="54"/>
      <c r="D750" s="55"/>
      <c r="E750" s="55"/>
      <c r="F750" s="55"/>
      <c r="G750" s="55"/>
      <c r="H750" s="32"/>
      <c r="I750" s="3"/>
    </row>
    <row r="751" spans="1:12" ht="14.4" x14ac:dyDescent="0.3">
      <c r="A751" s="3"/>
      <c r="B751" s="3"/>
      <c r="C751" s="54"/>
      <c r="D751" s="55"/>
      <c r="E751" s="55"/>
      <c r="F751" s="55"/>
      <c r="G751" s="55"/>
      <c r="H751" s="32"/>
      <c r="I751" s="3"/>
    </row>
    <row r="752" spans="1:12" ht="16.5" customHeight="1" x14ac:dyDescent="0.35">
      <c r="A752" s="25"/>
      <c r="B752" s="26" t="s">
        <v>45</v>
      </c>
      <c r="C752" s="56" t="s">
        <v>45</v>
      </c>
      <c r="D752" s="186" t="s">
        <v>54</v>
      </c>
      <c r="E752" s="186"/>
      <c r="F752" s="186"/>
      <c r="G752" s="186"/>
      <c r="H752" s="186"/>
      <c r="I752" s="2" t="s">
        <v>0</v>
      </c>
    </row>
    <row r="753" spans="1:11" ht="15.9" customHeight="1" x14ac:dyDescent="0.3">
      <c r="A753" s="3"/>
      <c r="B753" s="132" t="s">
        <v>89</v>
      </c>
      <c r="C753" s="132"/>
      <c r="D753" s="132"/>
      <c r="E753" s="132"/>
      <c r="F753" s="132"/>
      <c r="G753" s="132"/>
      <c r="H753" s="132"/>
      <c r="I753" s="2" t="s">
        <v>1</v>
      </c>
    </row>
    <row r="754" spans="1:11" ht="14.4" x14ac:dyDescent="0.3">
      <c r="A754" s="3"/>
      <c r="B754" s="14"/>
      <c r="C754" s="15"/>
      <c r="D754" s="152" t="s">
        <v>6</v>
      </c>
      <c r="E754" s="153"/>
      <c r="F754" s="153"/>
      <c r="G754" s="179"/>
      <c r="H754" s="180" t="s">
        <v>45</v>
      </c>
      <c r="I754" s="2" t="s">
        <v>2</v>
      </c>
    </row>
    <row r="755" spans="1:11" ht="14.4" x14ac:dyDescent="0.3">
      <c r="A755" s="3"/>
      <c r="B755" s="12"/>
      <c r="C755" s="13"/>
      <c r="D755" s="155" t="s">
        <v>9</v>
      </c>
      <c r="E755" s="156"/>
      <c r="F755" s="156"/>
      <c r="G755" s="181"/>
      <c r="H755" s="180"/>
      <c r="I755" s="2" t="s">
        <v>3</v>
      </c>
    </row>
    <row r="756" spans="1:11" ht="14.4" x14ac:dyDescent="0.3">
      <c r="A756" s="3"/>
      <c r="B756" s="111" t="s">
        <v>10</v>
      </c>
      <c r="C756" s="113" t="s">
        <v>11</v>
      </c>
      <c r="D756" s="44" t="s">
        <v>12</v>
      </c>
      <c r="E756" s="44" t="s">
        <v>13</v>
      </c>
      <c r="F756" s="44" t="s">
        <v>14</v>
      </c>
      <c r="G756" s="57" t="s">
        <v>15</v>
      </c>
      <c r="H756" s="175" t="s">
        <v>45</v>
      </c>
      <c r="I756" s="2" t="s">
        <v>4</v>
      </c>
    </row>
    <row r="757" spans="1:11" ht="14.4" x14ac:dyDescent="0.3">
      <c r="A757" s="3"/>
      <c r="B757" s="112"/>
      <c r="C757" s="114"/>
      <c r="D757" s="165" t="s">
        <v>20</v>
      </c>
      <c r="E757" s="166"/>
      <c r="F757" s="166"/>
      <c r="G757" s="176"/>
      <c r="H757" s="175"/>
      <c r="I757" s="3"/>
    </row>
    <row r="758" spans="1:11" ht="14.4" x14ac:dyDescent="0.3">
      <c r="A758" s="3"/>
      <c r="B758" s="33">
        <v>4</v>
      </c>
      <c r="C758" s="58" t="s">
        <v>21</v>
      </c>
      <c r="D758" s="59">
        <v>82728.69</v>
      </c>
      <c r="E758" s="23">
        <v>0</v>
      </c>
      <c r="F758" s="60">
        <f>+E758+D758</f>
        <v>82728.69</v>
      </c>
      <c r="G758" s="61">
        <f>+F758</f>
        <v>82728.69</v>
      </c>
      <c r="H758" s="62" t="s">
        <v>45</v>
      </c>
      <c r="I758" s="3"/>
    </row>
    <row r="759" spans="1:11" ht="14.4" x14ac:dyDescent="0.3">
      <c r="A759" s="3"/>
      <c r="B759" s="63">
        <v>5</v>
      </c>
      <c r="C759" s="64" t="s">
        <v>22</v>
      </c>
      <c r="D759" s="59">
        <v>43278.53</v>
      </c>
      <c r="E759" s="23">
        <v>0</v>
      </c>
      <c r="F759" s="60">
        <f>+E759+D759</f>
        <v>43278.53</v>
      </c>
      <c r="G759" s="61">
        <f>+G758+F759</f>
        <v>126007.22</v>
      </c>
      <c r="H759" s="62" t="s">
        <v>45</v>
      </c>
      <c r="I759" s="3"/>
    </row>
    <row r="760" spans="1:11" ht="14.4" x14ac:dyDescent="0.3">
      <c r="A760" s="3"/>
      <c r="B760" s="63">
        <v>6</v>
      </c>
      <c r="C760" s="64" t="s">
        <v>23</v>
      </c>
      <c r="D760" s="59">
        <v>243466.02</v>
      </c>
      <c r="E760" s="23">
        <v>0</v>
      </c>
      <c r="F760" s="60">
        <f>+E760+D760</f>
        <v>243466.02</v>
      </c>
      <c r="G760" s="61">
        <f>+G759+F760</f>
        <v>369473.24</v>
      </c>
      <c r="H760" s="62" t="s">
        <v>45</v>
      </c>
      <c r="I760" s="3"/>
    </row>
    <row r="761" spans="1:11" ht="14.4" x14ac:dyDescent="0.3">
      <c r="A761" s="3"/>
      <c r="B761" s="63">
        <v>7</v>
      </c>
      <c r="C761" s="64" t="s">
        <v>24</v>
      </c>
      <c r="D761" s="59">
        <v>128048.59</v>
      </c>
      <c r="E761" s="23">
        <f>144440.09-128048.59</f>
        <v>16391.5</v>
      </c>
      <c r="F761" s="60">
        <f>+E761+D761</f>
        <v>144440.09</v>
      </c>
      <c r="G761" s="61">
        <f>+G760+F761</f>
        <v>513913.32999999996</v>
      </c>
      <c r="H761" s="62" t="s">
        <v>45</v>
      </c>
      <c r="I761" s="3"/>
    </row>
    <row r="762" spans="1:11" ht="14.4" x14ac:dyDescent="0.3">
      <c r="A762" s="3"/>
      <c r="B762" s="33">
        <v>8</v>
      </c>
      <c r="C762" s="31" t="s">
        <v>25</v>
      </c>
      <c r="D762" s="23">
        <v>176977.01</v>
      </c>
      <c r="E762" s="23">
        <v>0</v>
      </c>
      <c r="F762" s="60">
        <f>+E762+D762</f>
        <v>176977.01</v>
      </c>
      <c r="G762" s="61">
        <f>+G761+F762</f>
        <v>690890.34</v>
      </c>
      <c r="H762" s="62"/>
      <c r="I762" s="10"/>
      <c r="J762" s="3"/>
      <c r="K762" s="3"/>
    </row>
    <row r="763" spans="1:11" s="3" customFormat="1" ht="14.4" x14ac:dyDescent="0.3">
      <c r="B763" s="33">
        <v>9</v>
      </c>
      <c r="C763" s="31" t="s">
        <v>26</v>
      </c>
      <c r="D763" s="23">
        <v>147726.51</v>
      </c>
      <c r="E763" s="23">
        <v>0</v>
      </c>
      <c r="F763" s="40">
        <f t="shared" ref="F763:F782" si="77">+E763+D763</f>
        <v>147726.51</v>
      </c>
      <c r="G763" s="65">
        <f t="shared" ref="G763:G782" si="78">+G762+F763</f>
        <v>838616.85</v>
      </c>
      <c r="H763" s="62"/>
      <c r="I763" s="35"/>
      <c r="J763" s="35"/>
    </row>
    <row r="764" spans="1:11" s="3" customFormat="1" ht="14.4" x14ac:dyDescent="0.3">
      <c r="B764" s="33">
        <v>10</v>
      </c>
      <c r="C764" s="31" t="s">
        <v>55</v>
      </c>
      <c r="D764" s="23">
        <v>153212.01999999999</v>
      </c>
      <c r="E764" s="23">
        <v>0</v>
      </c>
      <c r="F764" s="40">
        <f>+E764+D764</f>
        <v>153212.01999999999</v>
      </c>
      <c r="G764" s="65">
        <f>+G763+F764</f>
        <v>991828.87</v>
      </c>
      <c r="H764" s="62"/>
      <c r="I764" s="35"/>
      <c r="J764" s="35"/>
    </row>
    <row r="765" spans="1:11" s="3" customFormat="1" ht="15.75" customHeight="1" x14ac:dyDescent="0.3">
      <c r="B765" s="33">
        <v>11</v>
      </c>
      <c r="C765" s="31" t="s">
        <v>56</v>
      </c>
      <c r="D765" s="23">
        <v>61012.02</v>
      </c>
      <c r="E765" s="23">
        <v>0</v>
      </c>
      <c r="F765" s="40">
        <f t="shared" si="77"/>
        <v>61012.02</v>
      </c>
      <c r="G765" s="65">
        <f>+G764+F765</f>
        <v>1052840.8899999999</v>
      </c>
      <c r="H765" s="62"/>
      <c r="I765" s="35"/>
      <c r="J765" s="35"/>
    </row>
    <row r="766" spans="1:11" s="3" customFormat="1" ht="15.75" customHeight="1" x14ac:dyDescent="0.3">
      <c r="B766" s="33">
        <v>12</v>
      </c>
      <c r="C766" s="31" t="s">
        <v>71</v>
      </c>
      <c r="D766" s="23">
        <v>167377.04999999999</v>
      </c>
      <c r="E766" s="23">
        <v>0</v>
      </c>
      <c r="F766" s="40">
        <f t="shared" si="77"/>
        <v>167377.04999999999</v>
      </c>
      <c r="G766" s="65">
        <f t="shared" si="78"/>
        <v>1220217.94</v>
      </c>
      <c r="H766" s="62"/>
      <c r="I766" s="35"/>
      <c r="J766" s="35"/>
    </row>
    <row r="767" spans="1:11" s="3" customFormat="1" ht="15.75" customHeight="1" x14ac:dyDescent="0.3">
      <c r="B767" s="33">
        <v>13</v>
      </c>
      <c r="C767" s="31" t="s">
        <v>57</v>
      </c>
      <c r="D767" s="23">
        <v>99917.55</v>
      </c>
      <c r="E767" s="23">
        <v>0</v>
      </c>
      <c r="F767" s="40">
        <f t="shared" si="77"/>
        <v>99917.55</v>
      </c>
      <c r="G767" s="65">
        <f t="shared" si="78"/>
        <v>1320135.49</v>
      </c>
      <c r="H767" s="62"/>
      <c r="I767" s="35"/>
      <c r="J767" s="35"/>
    </row>
    <row r="768" spans="1:11" s="3" customFormat="1" ht="15.75" customHeight="1" x14ac:dyDescent="0.3">
      <c r="B768" s="33">
        <v>14</v>
      </c>
      <c r="C768" s="49" t="s">
        <v>58</v>
      </c>
      <c r="D768" s="23">
        <v>7466.5</v>
      </c>
      <c r="E768" s="23">
        <v>0</v>
      </c>
      <c r="F768" s="40">
        <f t="shared" si="77"/>
        <v>7466.5</v>
      </c>
      <c r="G768" s="65">
        <f t="shared" si="78"/>
        <v>1327601.99</v>
      </c>
      <c r="H768" s="62"/>
      <c r="I768" s="35"/>
      <c r="J768" s="35"/>
    </row>
    <row r="769" spans="2:10" s="3" customFormat="1" ht="15.75" customHeight="1" x14ac:dyDescent="0.3">
      <c r="B769" s="33">
        <v>15</v>
      </c>
      <c r="C769" s="31" t="s">
        <v>59</v>
      </c>
      <c r="D769" s="23">
        <v>98486</v>
      </c>
      <c r="E769" s="23">
        <v>0</v>
      </c>
      <c r="F769" s="40">
        <f t="shared" si="77"/>
        <v>98486</v>
      </c>
      <c r="G769" s="65">
        <f t="shared" si="78"/>
        <v>1426087.99</v>
      </c>
      <c r="H769" s="62"/>
      <c r="I769" s="35"/>
      <c r="J769" s="35"/>
    </row>
    <row r="770" spans="2:10" s="3" customFormat="1" ht="15.75" customHeight="1" x14ac:dyDescent="0.3">
      <c r="B770" s="33">
        <v>16</v>
      </c>
      <c r="C770" s="31" t="s">
        <v>60</v>
      </c>
      <c r="D770" s="23">
        <v>25932.5</v>
      </c>
      <c r="E770" s="23">
        <v>0</v>
      </c>
      <c r="F770" s="40">
        <f t="shared" si="77"/>
        <v>25932.5</v>
      </c>
      <c r="G770" s="65">
        <f t="shared" si="78"/>
        <v>1452020.49</v>
      </c>
      <c r="H770" s="62"/>
      <c r="I770" s="35"/>
      <c r="J770" s="35"/>
    </row>
    <row r="771" spans="2:10" s="3" customFormat="1" ht="15.75" customHeight="1" x14ac:dyDescent="0.3">
      <c r="B771" s="33">
        <v>17</v>
      </c>
      <c r="C771" s="31" t="s">
        <v>61</v>
      </c>
      <c r="D771" s="23">
        <v>102848</v>
      </c>
      <c r="E771" s="23">
        <v>0</v>
      </c>
      <c r="F771" s="40">
        <f t="shared" si="77"/>
        <v>102848</v>
      </c>
      <c r="G771" s="65">
        <f t="shared" si="78"/>
        <v>1554868.49</v>
      </c>
      <c r="H771" s="62"/>
      <c r="I771" s="35"/>
      <c r="J771" s="35"/>
    </row>
    <row r="772" spans="2:10" s="3" customFormat="1" ht="15.75" customHeight="1" x14ac:dyDescent="0.3">
      <c r="B772" s="33">
        <v>18</v>
      </c>
      <c r="C772" s="31" t="s">
        <v>62</v>
      </c>
      <c r="D772" s="23">
        <v>74591</v>
      </c>
      <c r="E772" s="23">
        <v>0</v>
      </c>
      <c r="F772" s="40">
        <f t="shared" si="77"/>
        <v>74591</v>
      </c>
      <c r="G772" s="65">
        <f t="shared" si="78"/>
        <v>1629459.49</v>
      </c>
      <c r="H772" s="62"/>
      <c r="I772" s="35"/>
      <c r="J772" s="35"/>
    </row>
    <row r="773" spans="2:10" s="3" customFormat="1" ht="15.75" customHeight="1" x14ac:dyDescent="0.3">
      <c r="B773" s="33">
        <v>19</v>
      </c>
      <c r="C773" s="31" t="s">
        <v>63</v>
      </c>
      <c r="D773" s="23">
        <v>95211.5</v>
      </c>
      <c r="E773" s="23">
        <v>0</v>
      </c>
      <c r="F773" s="40">
        <f t="shared" si="77"/>
        <v>95211.5</v>
      </c>
      <c r="G773" s="65">
        <f t="shared" si="78"/>
        <v>1724670.99</v>
      </c>
      <c r="H773" s="62"/>
      <c r="I773" s="35"/>
      <c r="J773" s="35"/>
    </row>
    <row r="774" spans="2:10" s="3" customFormat="1" ht="15.75" customHeight="1" x14ac:dyDescent="0.3">
      <c r="B774" s="33">
        <v>20</v>
      </c>
      <c r="C774" s="31" t="s">
        <v>64</v>
      </c>
      <c r="D774" s="23">
        <v>17880.5</v>
      </c>
      <c r="E774" s="23">
        <v>10850</v>
      </c>
      <c r="F774" s="40">
        <f t="shared" si="77"/>
        <v>28730.5</v>
      </c>
      <c r="G774" s="65">
        <f t="shared" si="78"/>
        <v>1753401.49</v>
      </c>
      <c r="H774" s="62"/>
      <c r="I774" s="35"/>
      <c r="J774" s="35"/>
    </row>
    <row r="775" spans="2:10" s="3" customFormat="1" ht="15.75" customHeight="1" x14ac:dyDescent="0.3">
      <c r="B775" s="33">
        <v>21</v>
      </c>
      <c r="C775" s="31" t="s">
        <v>65</v>
      </c>
      <c r="D775" s="23">
        <v>121169.5</v>
      </c>
      <c r="E775" s="23">
        <v>0</v>
      </c>
      <c r="F775" s="40">
        <f t="shared" si="77"/>
        <v>121169.5</v>
      </c>
      <c r="G775" s="65">
        <f t="shared" si="78"/>
        <v>1874570.99</v>
      </c>
      <c r="H775" s="62"/>
      <c r="I775" s="35" t="s">
        <v>74</v>
      </c>
      <c r="J775" s="35"/>
    </row>
    <row r="776" spans="2:10" s="3" customFormat="1" ht="15.75" customHeight="1" x14ac:dyDescent="0.3">
      <c r="B776" s="33">
        <v>22</v>
      </c>
      <c r="C776" s="31" t="s">
        <v>66</v>
      </c>
      <c r="D776" s="23">
        <v>76146</v>
      </c>
      <c r="E776" s="23">
        <v>0</v>
      </c>
      <c r="F776" s="40">
        <f t="shared" si="77"/>
        <v>76146</v>
      </c>
      <c r="G776" s="65">
        <f t="shared" si="78"/>
        <v>1950716.99</v>
      </c>
      <c r="H776" s="62"/>
      <c r="I776" s="35"/>
      <c r="J776" s="35"/>
    </row>
    <row r="777" spans="2:10" s="3" customFormat="1" ht="15.75" customHeight="1" x14ac:dyDescent="0.3">
      <c r="B777" s="33">
        <v>23</v>
      </c>
      <c r="C777" s="31" t="s">
        <v>67</v>
      </c>
      <c r="D777" s="23">
        <v>72425</v>
      </c>
      <c r="E777" s="23">
        <v>0</v>
      </c>
      <c r="F777" s="40">
        <f t="shared" si="77"/>
        <v>72425</v>
      </c>
      <c r="G777" s="65">
        <f t="shared" si="78"/>
        <v>2023141.99</v>
      </c>
      <c r="H777" s="62"/>
      <c r="I777" s="35"/>
      <c r="J777" s="35"/>
    </row>
    <row r="778" spans="2:10" s="3" customFormat="1" ht="15.75" customHeight="1" x14ac:dyDescent="0.3">
      <c r="B778" s="33">
        <v>24</v>
      </c>
      <c r="C778" s="31" t="s">
        <v>68</v>
      </c>
      <c r="D778" s="23">
        <v>1090</v>
      </c>
      <c r="E778" s="23">
        <v>0</v>
      </c>
      <c r="F778" s="40">
        <f t="shared" si="77"/>
        <v>1090</v>
      </c>
      <c r="G778" s="65">
        <f t="shared" si="78"/>
        <v>2024231.99</v>
      </c>
      <c r="H778" s="62"/>
      <c r="I778" s="35"/>
      <c r="J778" s="35"/>
    </row>
    <row r="779" spans="2:10" s="3" customFormat="1" ht="15.75" customHeight="1" x14ac:dyDescent="0.3">
      <c r="B779" s="33">
        <v>25</v>
      </c>
      <c r="C779" s="67" t="s">
        <v>69</v>
      </c>
      <c r="D779" s="23">
        <v>29916</v>
      </c>
      <c r="E779" s="23">
        <v>0</v>
      </c>
      <c r="F779" s="40">
        <f t="shared" si="77"/>
        <v>29916</v>
      </c>
      <c r="G779" s="65">
        <f>+G778+F779</f>
        <v>2054147.99</v>
      </c>
      <c r="H779" s="62"/>
      <c r="I779" s="35"/>
      <c r="J779" s="35"/>
    </row>
    <row r="780" spans="2:10" s="3" customFormat="1" ht="15.75" customHeight="1" x14ac:dyDescent="0.3">
      <c r="B780" s="33">
        <v>26</v>
      </c>
      <c r="C780" s="67" t="s">
        <v>70</v>
      </c>
      <c r="D780" s="94">
        <v>0</v>
      </c>
      <c r="E780" s="95">
        <v>0</v>
      </c>
      <c r="F780" s="96">
        <f t="shared" si="77"/>
        <v>0</v>
      </c>
      <c r="G780" s="98">
        <f t="shared" si="78"/>
        <v>2054147.99</v>
      </c>
      <c r="H780" s="62"/>
      <c r="I780" s="35"/>
      <c r="J780" s="35"/>
    </row>
    <row r="781" spans="2:10" s="3" customFormat="1" ht="14.4" x14ac:dyDescent="0.3">
      <c r="B781" s="33">
        <v>27</v>
      </c>
      <c r="C781" s="31" t="s">
        <v>79</v>
      </c>
      <c r="D781" s="18">
        <v>0</v>
      </c>
      <c r="E781" s="18">
        <v>0</v>
      </c>
      <c r="F781" s="36">
        <f t="shared" si="77"/>
        <v>0</v>
      </c>
      <c r="G781" s="84">
        <f t="shared" si="78"/>
        <v>2054147.99</v>
      </c>
      <c r="H781" s="62"/>
      <c r="I781" s="35"/>
      <c r="J781" s="35"/>
    </row>
    <row r="782" spans="2:10" s="3" customFormat="1" ht="13.2" customHeight="1" x14ac:dyDescent="0.3">
      <c r="B782" s="33">
        <v>28</v>
      </c>
      <c r="C782" s="67" t="s">
        <v>80</v>
      </c>
      <c r="D782" s="23">
        <v>7074</v>
      </c>
      <c r="E782" s="23">
        <v>0</v>
      </c>
      <c r="F782" s="40">
        <f t="shared" si="77"/>
        <v>7074</v>
      </c>
      <c r="G782" s="65">
        <f t="shared" si="78"/>
        <v>2061221.99</v>
      </c>
      <c r="H782" s="62"/>
      <c r="I782" s="35"/>
      <c r="J782" s="35"/>
    </row>
    <row r="783" spans="2:10" s="3" customFormat="1" ht="13.8" customHeight="1" x14ac:dyDescent="0.3">
      <c r="B783" s="33">
        <v>29</v>
      </c>
      <c r="C783" s="67" t="s">
        <v>81</v>
      </c>
      <c r="D783" s="23">
        <v>0</v>
      </c>
      <c r="E783" s="23">
        <v>0</v>
      </c>
      <c r="F783" s="40">
        <f t="shared" ref="F783:F787" si="79">+E783+D783</f>
        <v>0</v>
      </c>
      <c r="G783" s="65">
        <f t="shared" ref="G783:G786" si="80">+G782+F783</f>
        <v>2061221.99</v>
      </c>
      <c r="H783" s="62"/>
      <c r="I783" s="35"/>
      <c r="J783" s="35"/>
    </row>
    <row r="784" spans="2:10" s="3" customFormat="1" ht="13.8" customHeight="1" x14ac:dyDescent="0.3">
      <c r="B784" s="33">
        <v>30</v>
      </c>
      <c r="C784" s="67" t="s">
        <v>82</v>
      </c>
      <c r="D784" s="23">
        <v>8579</v>
      </c>
      <c r="E784" s="23">
        <v>0</v>
      </c>
      <c r="F784" s="40">
        <f t="shared" si="79"/>
        <v>8579</v>
      </c>
      <c r="G784" s="65">
        <f t="shared" si="80"/>
        <v>2069800.99</v>
      </c>
      <c r="H784" s="62"/>
      <c r="I784" s="35"/>
      <c r="J784" s="35"/>
    </row>
    <row r="785" spans="1:12" s="3" customFormat="1" ht="13.8" customHeight="1" x14ac:dyDescent="0.3">
      <c r="B785" s="33">
        <v>31</v>
      </c>
      <c r="C785" s="67" t="s">
        <v>83</v>
      </c>
      <c r="D785" s="23">
        <v>322</v>
      </c>
      <c r="E785" s="23">
        <v>0</v>
      </c>
      <c r="F785" s="40">
        <f t="shared" si="79"/>
        <v>322</v>
      </c>
      <c r="G785" s="65">
        <f t="shared" si="80"/>
        <v>2070122.99</v>
      </c>
      <c r="H785" s="62"/>
      <c r="I785" s="35"/>
      <c r="J785" s="35"/>
    </row>
    <row r="786" spans="1:12" s="3" customFormat="1" ht="13.8" customHeight="1" x14ac:dyDescent="0.3">
      <c r="B786" s="33">
        <v>32</v>
      </c>
      <c r="C786" s="67" t="s">
        <v>84</v>
      </c>
      <c r="D786" s="23">
        <v>0</v>
      </c>
      <c r="E786" s="23">
        <v>0</v>
      </c>
      <c r="F786" s="40">
        <f t="shared" si="79"/>
        <v>0</v>
      </c>
      <c r="G786" s="65">
        <f t="shared" si="80"/>
        <v>2070122.99</v>
      </c>
      <c r="H786" s="62"/>
      <c r="I786" s="35"/>
      <c r="J786" s="35"/>
    </row>
    <row r="787" spans="1:12" s="3" customFormat="1" ht="14.4" x14ac:dyDescent="0.3">
      <c r="B787" s="33">
        <v>33</v>
      </c>
      <c r="C787" s="67" t="s">
        <v>85</v>
      </c>
      <c r="D787" s="23">
        <v>718.5</v>
      </c>
      <c r="E787" s="23">
        <v>6268</v>
      </c>
      <c r="F787" s="40">
        <f t="shared" si="79"/>
        <v>6986.5</v>
      </c>
      <c r="G787" s="65">
        <f>+G786+F787</f>
        <v>2077109.49</v>
      </c>
      <c r="H787" s="62"/>
      <c r="I787" s="35"/>
      <c r="J787" s="35"/>
    </row>
    <row r="788" spans="1:12" s="3" customFormat="1" ht="14.4" x14ac:dyDescent="0.3">
      <c r="B788" s="33">
        <v>34</v>
      </c>
      <c r="C788" s="67" t="s">
        <v>87</v>
      </c>
      <c r="D788" s="23">
        <v>0</v>
      </c>
      <c r="E788" s="23">
        <v>0</v>
      </c>
      <c r="F788" s="40">
        <v>0</v>
      </c>
      <c r="G788" s="23">
        <f>+G787+F788</f>
        <v>2077109.49</v>
      </c>
      <c r="H788" s="62"/>
      <c r="I788" s="35"/>
      <c r="J788" s="10"/>
      <c r="K788" s="1"/>
      <c r="L788" s="32"/>
    </row>
    <row r="789" spans="1:12" s="3" customFormat="1" ht="14.4" x14ac:dyDescent="0.3">
      <c r="B789" s="33">
        <v>35</v>
      </c>
      <c r="C789" s="67" t="s">
        <v>86</v>
      </c>
      <c r="D789" s="23">
        <v>0</v>
      </c>
      <c r="E789" s="23">
        <v>0</v>
      </c>
      <c r="F789" s="40">
        <f>+E789+D789</f>
        <v>0</v>
      </c>
      <c r="G789" s="40">
        <f>+G788+F789</f>
        <v>2077109.49</v>
      </c>
      <c r="H789" s="62"/>
      <c r="I789" s="35"/>
      <c r="J789" s="10"/>
      <c r="K789" s="1"/>
      <c r="L789" s="32"/>
    </row>
    <row r="790" spans="1:12" ht="13.8" customHeight="1" x14ac:dyDescent="0.3">
      <c r="A790" s="3"/>
      <c r="B790" s="5" t="s">
        <v>45</v>
      </c>
      <c r="C790" s="68" t="s">
        <v>45</v>
      </c>
      <c r="D790" s="69" t="s">
        <v>45</v>
      </c>
      <c r="E790" s="69" t="s">
        <v>45</v>
      </c>
      <c r="F790" s="69" t="s">
        <v>45</v>
      </c>
      <c r="G790" s="69" t="s">
        <v>45</v>
      </c>
      <c r="H790" s="6" t="s">
        <v>45</v>
      </c>
      <c r="I790" s="32"/>
    </row>
    <row r="791" spans="1:12" ht="14.4" x14ac:dyDescent="0.3">
      <c r="A791" s="3"/>
      <c r="B791" s="8" t="s">
        <v>27</v>
      </c>
      <c r="C791" s="70"/>
      <c r="D791" s="69" t="s">
        <v>45</v>
      </c>
      <c r="E791" s="69" t="s">
        <v>45</v>
      </c>
      <c r="F791" s="69" t="s">
        <v>45</v>
      </c>
      <c r="G791" s="69" t="s">
        <v>45</v>
      </c>
      <c r="H791" s="6" t="s">
        <v>45</v>
      </c>
      <c r="I791" s="3"/>
    </row>
    <row r="792" spans="1:12" ht="14.4" x14ac:dyDescent="0.3">
      <c r="A792" s="3"/>
      <c r="B792" s="9" t="s">
        <v>28</v>
      </c>
      <c r="C792" s="5"/>
      <c r="D792" s="6"/>
      <c r="E792" s="6"/>
      <c r="F792" s="71"/>
      <c r="G792" s="71"/>
      <c r="H792" s="72"/>
      <c r="I792" s="3"/>
    </row>
    <row r="793" spans="1:12" ht="14.4" x14ac:dyDescent="0.3">
      <c r="A793" s="3"/>
      <c r="B793" s="9" t="s">
        <v>29</v>
      </c>
      <c r="C793" s="5"/>
      <c r="D793" s="6"/>
      <c r="E793" s="6"/>
      <c r="F793" s="71"/>
      <c r="G793" s="69" t="s">
        <v>45</v>
      </c>
      <c r="H793" s="6" t="s">
        <v>45</v>
      </c>
      <c r="I793" s="3"/>
    </row>
    <row r="794" spans="1:12" ht="14.4" x14ac:dyDescent="0.3">
      <c r="A794" s="3"/>
      <c r="B794" s="9" t="s">
        <v>30</v>
      </c>
      <c r="C794" s="5"/>
      <c r="D794" s="6"/>
      <c r="E794" s="6"/>
      <c r="F794" s="69" t="s">
        <v>45</v>
      </c>
      <c r="G794" s="69" t="s">
        <v>45</v>
      </c>
      <c r="H794" s="6" t="s">
        <v>45</v>
      </c>
      <c r="I794" s="3"/>
    </row>
    <row r="795" spans="1:12" ht="14.4" x14ac:dyDescent="0.3">
      <c r="A795" s="3"/>
      <c r="B795" s="9" t="s">
        <v>45</v>
      </c>
      <c r="C795" s="68" t="s">
        <v>45</v>
      </c>
      <c r="D795" s="69" t="s">
        <v>45</v>
      </c>
      <c r="E795" s="69" t="s">
        <v>45</v>
      </c>
      <c r="F795" s="69" t="s">
        <v>45</v>
      </c>
      <c r="G795" s="69" t="s">
        <v>45</v>
      </c>
      <c r="H795" s="6" t="s">
        <v>45</v>
      </c>
      <c r="I795" s="3"/>
    </row>
    <row r="796" spans="1:12" ht="14.4" x14ac:dyDescent="0.3">
      <c r="A796" s="3"/>
      <c r="B796" s="9" t="s">
        <v>45</v>
      </c>
      <c r="C796" s="68" t="s">
        <v>45</v>
      </c>
      <c r="D796" s="69" t="s">
        <v>45</v>
      </c>
      <c r="E796" s="69" t="s">
        <v>45</v>
      </c>
      <c r="F796" s="69" t="s">
        <v>45</v>
      </c>
      <c r="G796" s="69" t="s">
        <v>45</v>
      </c>
      <c r="H796" s="6" t="s">
        <v>45</v>
      </c>
      <c r="I796" s="3"/>
    </row>
    <row r="797" spans="1:12" ht="18" x14ac:dyDescent="0.35">
      <c r="A797" s="3"/>
      <c r="C797" s="73"/>
      <c r="D797" s="184" t="s">
        <v>31</v>
      </c>
      <c r="E797" s="184"/>
      <c r="F797" s="184"/>
      <c r="G797" s="184"/>
      <c r="H797" s="184"/>
      <c r="I797" s="3"/>
    </row>
    <row r="798" spans="1:12" ht="15.6" x14ac:dyDescent="0.3">
      <c r="A798" s="28"/>
      <c r="B798" s="24" t="s">
        <v>45</v>
      </c>
      <c r="C798" s="74" t="s">
        <v>45</v>
      </c>
      <c r="D798" s="185" t="s">
        <v>54</v>
      </c>
      <c r="E798" s="185"/>
      <c r="F798" s="185"/>
      <c r="G798" s="185"/>
      <c r="H798" s="185"/>
      <c r="I798" s="28"/>
    </row>
    <row r="799" spans="1:12" ht="15.9" customHeight="1" x14ac:dyDescent="0.3">
      <c r="A799" s="3"/>
      <c r="B799" s="132" t="s">
        <v>88</v>
      </c>
      <c r="C799" s="132"/>
      <c r="D799" s="132"/>
      <c r="E799" s="132"/>
      <c r="F799" s="132"/>
      <c r="G799" s="132"/>
      <c r="H799" s="132"/>
      <c r="I799" s="3"/>
    </row>
    <row r="800" spans="1:12" ht="14.4" x14ac:dyDescent="0.3">
      <c r="A800" s="3"/>
      <c r="B800" s="14"/>
      <c r="C800" s="15"/>
      <c r="D800" s="152" t="s">
        <v>6</v>
      </c>
      <c r="E800" s="153"/>
      <c r="F800" s="153"/>
      <c r="G800" s="179"/>
      <c r="H800" s="180" t="s">
        <v>45</v>
      </c>
      <c r="I800" s="3"/>
    </row>
    <row r="801" spans="1:15" ht="14.4" x14ac:dyDescent="0.3">
      <c r="A801" s="3"/>
      <c r="B801" s="12"/>
      <c r="C801" s="13"/>
      <c r="D801" s="155" t="s">
        <v>9</v>
      </c>
      <c r="E801" s="156"/>
      <c r="F801" s="156"/>
      <c r="G801" s="181"/>
      <c r="H801" s="180"/>
      <c r="I801" s="3"/>
    </row>
    <row r="802" spans="1:15" ht="14.4" x14ac:dyDescent="0.3">
      <c r="A802" s="3"/>
      <c r="B802" s="111" t="s">
        <v>10</v>
      </c>
      <c r="C802" s="113" t="s">
        <v>11</v>
      </c>
      <c r="D802" s="44" t="s">
        <v>12</v>
      </c>
      <c r="E802" s="44" t="s">
        <v>13</v>
      </c>
      <c r="F802" s="44" t="s">
        <v>14</v>
      </c>
      <c r="G802" s="57" t="s">
        <v>15</v>
      </c>
      <c r="H802" s="175" t="s">
        <v>45</v>
      </c>
      <c r="I802" s="3"/>
    </row>
    <row r="803" spans="1:15" ht="14.4" x14ac:dyDescent="0.3">
      <c r="A803" s="3"/>
      <c r="B803" s="112"/>
      <c r="C803" s="114"/>
      <c r="D803" s="165" t="s">
        <v>20</v>
      </c>
      <c r="E803" s="166"/>
      <c r="F803" s="166"/>
      <c r="G803" s="176"/>
      <c r="H803" s="175"/>
      <c r="I803" s="3"/>
      <c r="N803" s="89"/>
    </row>
    <row r="804" spans="1:15" ht="14.4" x14ac:dyDescent="0.3">
      <c r="A804" s="3"/>
      <c r="B804" s="33">
        <v>4</v>
      </c>
      <c r="C804" s="58" t="s">
        <v>21</v>
      </c>
      <c r="D804" s="59">
        <v>82728.69</v>
      </c>
      <c r="E804" s="23">
        <v>0</v>
      </c>
      <c r="F804" s="60">
        <f>+E804+D804</f>
        <v>82728.69</v>
      </c>
      <c r="G804" s="61">
        <f>+F804</f>
        <v>82728.69</v>
      </c>
      <c r="H804" s="62" t="s">
        <v>45</v>
      </c>
      <c r="I804" s="3"/>
    </row>
    <row r="805" spans="1:15" ht="14.4" x14ac:dyDescent="0.3">
      <c r="A805" s="3"/>
      <c r="B805" s="63">
        <v>5</v>
      </c>
      <c r="C805" s="64" t="s">
        <v>22</v>
      </c>
      <c r="D805" s="59">
        <v>20474.5</v>
      </c>
      <c r="E805" s="23">
        <v>0</v>
      </c>
      <c r="F805" s="60">
        <f>+E805+D805</f>
        <v>20474.5</v>
      </c>
      <c r="G805" s="61">
        <f>+G804+F805</f>
        <v>103203.19</v>
      </c>
      <c r="H805" s="62" t="s">
        <v>45</v>
      </c>
      <c r="I805" s="3"/>
    </row>
    <row r="806" spans="1:15" ht="14.4" x14ac:dyDescent="0.3">
      <c r="A806" s="3"/>
      <c r="B806" s="63">
        <v>6</v>
      </c>
      <c r="C806" s="64" t="s">
        <v>23</v>
      </c>
      <c r="D806" s="59">
        <v>229438</v>
      </c>
      <c r="E806" s="23">
        <v>0</v>
      </c>
      <c r="F806" s="60">
        <f>+E806+D806</f>
        <v>229438</v>
      </c>
      <c r="G806" s="61">
        <f>+G805+F806</f>
        <v>332641.19</v>
      </c>
      <c r="H806" s="62" t="s">
        <v>45</v>
      </c>
      <c r="I806" s="3"/>
      <c r="O806" s="90"/>
    </row>
    <row r="807" spans="1:15" ht="14.4" x14ac:dyDescent="0.3">
      <c r="A807" s="3"/>
      <c r="B807" s="63">
        <v>7</v>
      </c>
      <c r="C807" s="64" t="s">
        <v>24</v>
      </c>
      <c r="D807" s="59">
        <v>98529.51</v>
      </c>
      <c r="E807" s="23">
        <f>114921.01-98529.51</f>
        <v>16391.5</v>
      </c>
      <c r="F807" s="60">
        <f>+E807+D807</f>
        <v>114921.01</v>
      </c>
      <c r="G807" s="61">
        <f>+G806+F807</f>
        <v>447562.2</v>
      </c>
      <c r="H807" s="62" t="s">
        <v>45</v>
      </c>
      <c r="I807" s="3"/>
    </row>
    <row r="808" spans="1:15" ht="14.4" x14ac:dyDescent="0.3">
      <c r="A808" s="3"/>
      <c r="B808" s="33">
        <v>8</v>
      </c>
      <c r="C808" s="31" t="s">
        <v>25</v>
      </c>
      <c r="D808" s="23">
        <v>152870</v>
      </c>
      <c r="E808" s="23">
        <v>0</v>
      </c>
      <c r="F808" s="60">
        <f>+E808+D808</f>
        <v>152870</v>
      </c>
      <c r="G808" s="61">
        <f>+G807+F808</f>
        <v>600432.19999999995</v>
      </c>
      <c r="H808" s="62"/>
      <c r="I808" s="10"/>
      <c r="J808" s="3"/>
      <c r="K808" s="3"/>
    </row>
    <row r="809" spans="1:15" s="3" customFormat="1" ht="14.4" x14ac:dyDescent="0.3">
      <c r="B809" s="33">
        <v>9</v>
      </c>
      <c r="C809" s="31" t="s">
        <v>26</v>
      </c>
      <c r="D809" s="23">
        <v>145564</v>
      </c>
      <c r="E809" s="23">
        <v>0</v>
      </c>
      <c r="F809" s="40">
        <f t="shared" ref="F809:F828" si="81">+E809+D809</f>
        <v>145564</v>
      </c>
      <c r="G809" s="65">
        <f t="shared" ref="G809:G828" si="82">+G808+F809</f>
        <v>745996.2</v>
      </c>
      <c r="H809" s="62"/>
      <c r="I809" s="35"/>
      <c r="J809" s="35"/>
    </row>
    <row r="810" spans="1:15" s="3" customFormat="1" ht="14.4" x14ac:dyDescent="0.3">
      <c r="B810" s="33">
        <v>10</v>
      </c>
      <c r="C810" s="31" t="s">
        <v>55</v>
      </c>
      <c r="D810" s="23">
        <v>153212.01999999999</v>
      </c>
      <c r="E810" s="23">
        <v>0</v>
      </c>
      <c r="F810" s="40">
        <f t="shared" si="81"/>
        <v>153212.01999999999</v>
      </c>
      <c r="G810" s="65">
        <f t="shared" si="82"/>
        <v>899208.22</v>
      </c>
      <c r="H810" s="62"/>
      <c r="I810" s="35"/>
      <c r="J810" s="35"/>
    </row>
    <row r="811" spans="1:15" s="3" customFormat="1" ht="14.4" x14ac:dyDescent="0.3">
      <c r="B811" s="33">
        <v>11</v>
      </c>
      <c r="C811" s="31" t="s">
        <v>56</v>
      </c>
      <c r="D811" s="23">
        <v>51524</v>
      </c>
      <c r="E811" s="23">
        <v>0</v>
      </c>
      <c r="F811" s="40">
        <f t="shared" si="81"/>
        <v>51524</v>
      </c>
      <c r="G811" s="65">
        <f>+G810+F811</f>
        <v>950732.22</v>
      </c>
      <c r="H811" s="62"/>
      <c r="I811" s="35"/>
      <c r="J811" s="35"/>
    </row>
    <row r="812" spans="1:15" s="3" customFormat="1" ht="14.4" x14ac:dyDescent="0.3">
      <c r="B812" s="33">
        <v>12</v>
      </c>
      <c r="C812" s="31" t="s">
        <v>71</v>
      </c>
      <c r="D812" s="23">
        <v>163599.54</v>
      </c>
      <c r="E812" s="23">
        <v>0</v>
      </c>
      <c r="F812" s="40">
        <f t="shared" si="81"/>
        <v>163599.54</v>
      </c>
      <c r="G812" s="65">
        <f t="shared" si="82"/>
        <v>1114331.76</v>
      </c>
      <c r="H812" s="62"/>
      <c r="I812" s="35"/>
      <c r="J812" s="35"/>
    </row>
    <row r="813" spans="1:15" s="3" customFormat="1" ht="14.4" x14ac:dyDescent="0.3">
      <c r="B813" s="33">
        <v>13</v>
      </c>
      <c r="C813" s="31" t="s">
        <v>57</v>
      </c>
      <c r="D813" s="23">
        <v>99917.55</v>
      </c>
      <c r="E813" s="23">
        <v>0</v>
      </c>
      <c r="F813" s="40">
        <f t="shared" si="81"/>
        <v>99917.55</v>
      </c>
      <c r="G813" s="65">
        <f t="shared" si="82"/>
        <v>1214249.31</v>
      </c>
      <c r="H813" s="62"/>
      <c r="I813" s="35"/>
      <c r="J813" s="35"/>
    </row>
    <row r="814" spans="1:15" s="3" customFormat="1" ht="18" customHeight="1" x14ac:dyDescent="0.3">
      <c r="B814" s="33">
        <v>14</v>
      </c>
      <c r="C814" s="49" t="s">
        <v>58</v>
      </c>
      <c r="D814" s="23">
        <v>7466.5</v>
      </c>
      <c r="E814" s="23">
        <v>0</v>
      </c>
      <c r="F814" s="40">
        <f t="shared" si="81"/>
        <v>7466.5</v>
      </c>
      <c r="G814" s="65">
        <f t="shared" si="82"/>
        <v>1221715.81</v>
      </c>
      <c r="H814" s="62"/>
      <c r="I814" s="35"/>
      <c r="J814" s="35"/>
    </row>
    <row r="815" spans="1:15" s="3" customFormat="1" ht="14.4" x14ac:dyDescent="0.3">
      <c r="B815" s="33">
        <v>15</v>
      </c>
      <c r="C815" s="31" t="s">
        <v>59</v>
      </c>
      <c r="D815" s="23">
        <v>98486</v>
      </c>
      <c r="E815" s="23">
        <v>0</v>
      </c>
      <c r="F815" s="40">
        <f t="shared" si="81"/>
        <v>98486</v>
      </c>
      <c r="G815" s="65">
        <f t="shared" si="82"/>
        <v>1320201.81</v>
      </c>
      <c r="H815" s="62"/>
      <c r="I815" s="35"/>
      <c r="J815" s="35"/>
    </row>
    <row r="816" spans="1:15" s="3" customFormat="1" ht="14.4" x14ac:dyDescent="0.3">
      <c r="B816" s="33">
        <v>16</v>
      </c>
      <c r="C816" s="31" t="s">
        <v>60</v>
      </c>
      <c r="D816" s="23">
        <v>25932.5</v>
      </c>
      <c r="E816" s="23">
        <v>0</v>
      </c>
      <c r="F816" s="40">
        <f t="shared" si="81"/>
        <v>25932.5</v>
      </c>
      <c r="G816" s="65">
        <f t="shared" si="82"/>
        <v>1346134.31</v>
      </c>
      <c r="H816" s="62"/>
      <c r="I816" s="35"/>
      <c r="J816" s="35"/>
    </row>
    <row r="817" spans="2:10" s="3" customFormat="1" ht="14.4" x14ac:dyDescent="0.3">
      <c r="B817" s="33">
        <v>17</v>
      </c>
      <c r="C817" s="31" t="s">
        <v>61</v>
      </c>
      <c r="D817" s="23">
        <v>102848</v>
      </c>
      <c r="E817" s="23">
        <v>0</v>
      </c>
      <c r="F817" s="40">
        <f t="shared" si="81"/>
        <v>102848</v>
      </c>
      <c r="G817" s="65">
        <f t="shared" si="82"/>
        <v>1448982.31</v>
      </c>
      <c r="H817" s="62"/>
      <c r="I817" s="35"/>
      <c r="J817" s="35"/>
    </row>
    <row r="818" spans="2:10" s="3" customFormat="1" ht="14.4" x14ac:dyDescent="0.3">
      <c r="B818" s="33">
        <v>18</v>
      </c>
      <c r="C818" s="31" t="s">
        <v>62</v>
      </c>
      <c r="D818" s="23">
        <v>74591</v>
      </c>
      <c r="E818" s="23">
        <v>0</v>
      </c>
      <c r="F818" s="40">
        <f t="shared" si="81"/>
        <v>74591</v>
      </c>
      <c r="G818" s="65">
        <f t="shared" si="82"/>
        <v>1523573.31</v>
      </c>
      <c r="H818" s="62"/>
      <c r="I818" s="35"/>
      <c r="J818" s="35"/>
    </row>
    <row r="819" spans="2:10" s="3" customFormat="1" ht="14.4" x14ac:dyDescent="0.3">
      <c r="B819" s="33">
        <v>19</v>
      </c>
      <c r="C819" s="31" t="s">
        <v>63</v>
      </c>
      <c r="D819" s="23">
        <v>95211.5</v>
      </c>
      <c r="E819" s="23">
        <v>0</v>
      </c>
      <c r="F819" s="40">
        <f t="shared" si="81"/>
        <v>95211.5</v>
      </c>
      <c r="G819" s="65">
        <f t="shared" si="82"/>
        <v>1618784.81</v>
      </c>
      <c r="H819" s="62"/>
      <c r="I819" s="35"/>
      <c r="J819" s="35"/>
    </row>
    <row r="820" spans="2:10" s="3" customFormat="1" ht="14.4" x14ac:dyDescent="0.3">
      <c r="B820" s="33">
        <v>20</v>
      </c>
      <c r="C820" s="31" t="s">
        <v>64</v>
      </c>
      <c r="D820" s="23">
        <v>17880.5</v>
      </c>
      <c r="E820" s="23">
        <v>10850</v>
      </c>
      <c r="F820" s="40">
        <f t="shared" si="81"/>
        <v>28730.5</v>
      </c>
      <c r="G820" s="65">
        <f t="shared" si="82"/>
        <v>1647515.31</v>
      </c>
      <c r="H820" s="62"/>
      <c r="I820" s="35"/>
      <c r="J820" s="35"/>
    </row>
    <row r="821" spans="2:10" s="3" customFormat="1" ht="14.4" x14ac:dyDescent="0.3">
      <c r="B821" s="33">
        <v>21</v>
      </c>
      <c r="C821" s="31" t="s">
        <v>65</v>
      </c>
      <c r="D821" s="23">
        <v>121169.5</v>
      </c>
      <c r="E821" s="23">
        <v>0</v>
      </c>
      <c r="F821" s="40">
        <f t="shared" si="81"/>
        <v>121169.5</v>
      </c>
      <c r="G821" s="65">
        <f t="shared" si="82"/>
        <v>1768684.81</v>
      </c>
      <c r="H821" s="62"/>
      <c r="I821" s="35"/>
      <c r="J821" s="35"/>
    </row>
    <row r="822" spans="2:10" s="3" customFormat="1" ht="14.4" x14ac:dyDescent="0.3">
      <c r="B822" s="33">
        <v>22</v>
      </c>
      <c r="C822" s="31" t="s">
        <v>66</v>
      </c>
      <c r="D822" s="23">
        <v>76146</v>
      </c>
      <c r="E822" s="23">
        <v>0</v>
      </c>
      <c r="F822" s="40">
        <f t="shared" si="81"/>
        <v>76146</v>
      </c>
      <c r="G822" s="65">
        <f t="shared" si="82"/>
        <v>1844830.81</v>
      </c>
      <c r="H822" s="62"/>
      <c r="I822" s="35"/>
      <c r="J822" s="35"/>
    </row>
    <row r="823" spans="2:10" s="3" customFormat="1" ht="14.4" x14ac:dyDescent="0.3">
      <c r="B823" s="33">
        <v>23</v>
      </c>
      <c r="C823" s="31" t="s">
        <v>67</v>
      </c>
      <c r="D823" s="23">
        <v>72425</v>
      </c>
      <c r="E823" s="23">
        <v>0</v>
      </c>
      <c r="F823" s="40">
        <f t="shared" si="81"/>
        <v>72425</v>
      </c>
      <c r="G823" s="65">
        <f t="shared" si="82"/>
        <v>1917255.81</v>
      </c>
      <c r="H823" s="62"/>
      <c r="I823" s="35"/>
      <c r="J823" s="35"/>
    </row>
    <row r="824" spans="2:10" s="3" customFormat="1" ht="14.4" x14ac:dyDescent="0.3">
      <c r="B824" s="33">
        <v>24</v>
      </c>
      <c r="C824" s="31" t="s">
        <v>68</v>
      </c>
      <c r="D824" s="23">
        <v>1090</v>
      </c>
      <c r="E824" s="23">
        <v>0</v>
      </c>
      <c r="F824" s="40">
        <f t="shared" si="81"/>
        <v>1090</v>
      </c>
      <c r="G824" s="65">
        <f t="shared" si="82"/>
        <v>1918345.81</v>
      </c>
      <c r="H824" s="62"/>
      <c r="I824" s="35"/>
      <c r="J824" s="35"/>
    </row>
    <row r="825" spans="2:10" s="3" customFormat="1" ht="14.4" x14ac:dyDescent="0.3">
      <c r="B825" s="33">
        <v>25</v>
      </c>
      <c r="C825" s="67" t="s">
        <v>69</v>
      </c>
      <c r="D825" s="23">
        <v>29916</v>
      </c>
      <c r="E825" s="23">
        <v>0</v>
      </c>
      <c r="F825" s="40">
        <f t="shared" si="81"/>
        <v>29916</v>
      </c>
      <c r="G825" s="65">
        <f t="shared" si="82"/>
        <v>1948261.81</v>
      </c>
      <c r="H825" s="62"/>
      <c r="I825" s="35"/>
      <c r="J825" s="35"/>
    </row>
    <row r="826" spans="2:10" s="3" customFormat="1" ht="14.4" x14ac:dyDescent="0.3">
      <c r="B826" s="33">
        <v>26</v>
      </c>
      <c r="C826" s="67" t="s">
        <v>70</v>
      </c>
      <c r="D826" s="94">
        <v>0</v>
      </c>
      <c r="E826" s="95">
        <v>0</v>
      </c>
      <c r="F826" s="96">
        <f t="shared" si="81"/>
        <v>0</v>
      </c>
      <c r="G826" s="98">
        <f t="shared" si="82"/>
        <v>1948261.81</v>
      </c>
      <c r="H826" s="62"/>
      <c r="I826" s="35"/>
      <c r="J826" s="35"/>
    </row>
    <row r="827" spans="2:10" s="3" customFormat="1" ht="14.4" x14ac:dyDescent="0.3">
      <c r="B827" s="33">
        <v>27</v>
      </c>
      <c r="C827" s="31" t="s">
        <v>79</v>
      </c>
      <c r="D827" s="18">
        <v>0</v>
      </c>
      <c r="E827" s="18">
        <v>0</v>
      </c>
      <c r="F827" s="36">
        <f t="shared" si="81"/>
        <v>0</v>
      </c>
      <c r="G827" s="84">
        <f t="shared" si="82"/>
        <v>1948261.81</v>
      </c>
      <c r="H827" s="62"/>
      <c r="I827" s="35"/>
      <c r="J827" s="35"/>
    </row>
    <row r="828" spans="2:10" s="3" customFormat="1" ht="13.2" customHeight="1" x14ac:dyDescent="0.3">
      <c r="B828" s="33">
        <v>28</v>
      </c>
      <c r="C828" s="67" t="s">
        <v>80</v>
      </c>
      <c r="D828" s="23">
        <v>7074</v>
      </c>
      <c r="E828" s="23">
        <v>0</v>
      </c>
      <c r="F828" s="40">
        <f t="shared" si="81"/>
        <v>7074</v>
      </c>
      <c r="G828" s="65">
        <f t="shared" si="82"/>
        <v>1955335.81</v>
      </c>
      <c r="H828" s="62"/>
      <c r="I828" s="35"/>
      <c r="J828" s="35"/>
    </row>
    <row r="829" spans="2:10" s="3" customFormat="1" ht="13.2" customHeight="1" x14ac:dyDescent="0.3">
      <c r="B829" s="33">
        <v>29</v>
      </c>
      <c r="C829" s="67" t="s">
        <v>81</v>
      </c>
      <c r="D829" s="23">
        <v>0</v>
      </c>
      <c r="E829" s="23">
        <v>0</v>
      </c>
      <c r="F829" s="40">
        <f t="shared" ref="F829:F833" si="83">+E829+D829</f>
        <v>0</v>
      </c>
      <c r="G829" s="65">
        <f t="shared" ref="G829:G832" si="84">+G828+F829</f>
        <v>1955335.81</v>
      </c>
      <c r="H829" s="62"/>
      <c r="I829" s="35"/>
      <c r="J829" s="35"/>
    </row>
    <row r="830" spans="2:10" s="3" customFormat="1" ht="13.2" customHeight="1" x14ac:dyDescent="0.3">
      <c r="B830" s="33">
        <v>30</v>
      </c>
      <c r="C830" s="67" t="s">
        <v>82</v>
      </c>
      <c r="D830" s="23">
        <v>8579</v>
      </c>
      <c r="E830" s="23">
        <v>0</v>
      </c>
      <c r="F830" s="40">
        <f t="shared" si="83"/>
        <v>8579</v>
      </c>
      <c r="G830" s="65">
        <f t="shared" si="84"/>
        <v>1963914.81</v>
      </c>
      <c r="H830" s="62"/>
      <c r="I830" s="35"/>
      <c r="J830" s="35"/>
    </row>
    <row r="831" spans="2:10" s="3" customFormat="1" ht="13.2" customHeight="1" x14ac:dyDescent="0.3">
      <c r="B831" s="33">
        <v>31</v>
      </c>
      <c r="C831" s="67" t="s">
        <v>83</v>
      </c>
      <c r="D831" s="23">
        <v>322</v>
      </c>
      <c r="E831" s="23">
        <v>0</v>
      </c>
      <c r="F831" s="40">
        <f t="shared" si="83"/>
        <v>322</v>
      </c>
      <c r="G831" s="65">
        <f t="shared" si="84"/>
        <v>1964236.81</v>
      </c>
      <c r="H831" s="62"/>
      <c r="I831" s="35"/>
      <c r="J831" s="35"/>
    </row>
    <row r="832" spans="2:10" s="3" customFormat="1" ht="13.2" customHeight="1" x14ac:dyDescent="0.3">
      <c r="B832" s="33">
        <v>32</v>
      </c>
      <c r="C832" s="67" t="s">
        <v>84</v>
      </c>
      <c r="D832" s="23">
        <v>0</v>
      </c>
      <c r="E832" s="23">
        <v>0</v>
      </c>
      <c r="F832" s="40">
        <f t="shared" si="83"/>
        <v>0</v>
      </c>
      <c r="G832" s="65">
        <f t="shared" si="84"/>
        <v>1964236.81</v>
      </c>
      <c r="H832" s="62"/>
      <c r="I832" s="35"/>
      <c r="J832" s="35"/>
    </row>
    <row r="833" spans="1:12" s="3" customFormat="1" ht="14.4" x14ac:dyDescent="0.3">
      <c r="B833" s="33">
        <v>33</v>
      </c>
      <c r="C833" s="67" t="s">
        <v>85</v>
      </c>
      <c r="D833" s="23">
        <v>718.5</v>
      </c>
      <c r="E833" s="23">
        <v>6268</v>
      </c>
      <c r="F833" s="40">
        <f t="shared" si="83"/>
        <v>6986.5</v>
      </c>
      <c r="G833" s="65">
        <f>+G832+F833</f>
        <v>1971223.31</v>
      </c>
      <c r="H833" s="62"/>
      <c r="I833" s="35"/>
      <c r="J833" s="35"/>
    </row>
    <row r="834" spans="1:12" s="3" customFormat="1" ht="14.4" x14ac:dyDescent="0.3">
      <c r="B834" s="33">
        <v>34</v>
      </c>
      <c r="C834" s="67" t="s">
        <v>87</v>
      </c>
      <c r="D834" s="23">
        <v>0</v>
      </c>
      <c r="E834" s="23">
        <v>0</v>
      </c>
      <c r="F834" s="40">
        <v>0</v>
      </c>
      <c r="G834" s="23">
        <f>+G833+F834</f>
        <v>1971223.31</v>
      </c>
      <c r="H834" s="62"/>
      <c r="I834" s="35"/>
      <c r="J834" s="10"/>
      <c r="K834" s="1"/>
      <c r="L834" s="32"/>
    </row>
    <row r="835" spans="1:12" s="3" customFormat="1" ht="14.4" x14ac:dyDescent="0.3">
      <c r="B835" s="33">
        <v>35</v>
      </c>
      <c r="C835" s="67" t="s">
        <v>86</v>
      </c>
      <c r="D835" s="23">
        <v>0</v>
      </c>
      <c r="E835" s="23">
        <v>0</v>
      </c>
      <c r="F835" s="40">
        <f>+E835+D835</f>
        <v>0</v>
      </c>
      <c r="G835" s="40">
        <f>+G834+F835</f>
        <v>1971223.31</v>
      </c>
      <c r="H835" s="62"/>
      <c r="I835" s="35"/>
      <c r="J835" s="10"/>
      <c r="K835" s="1"/>
      <c r="L835" s="32"/>
    </row>
    <row r="836" spans="1:12" ht="14.4" x14ac:dyDescent="0.3">
      <c r="A836" s="3"/>
      <c r="B836" s="5" t="s">
        <v>45</v>
      </c>
      <c r="C836" s="68" t="s">
        <v>45</v>
      </c>
      <c r="D836" s="69" t="s">
        <v>45</v>
      </c>
      <c r="E836" s="69" t="s">
        <v>45</v>
      </c>
      <c r="F836" s="69" t="s">
        <v>45</v>
      </c>
      <c r="G836" s="69" t="s">
        <v>45</v>
      </c>
      <c r="H836" s="6" t="s">
        <v>45</v>
      </c>
      <c r="I836" s="3"/>
    </row>
    <row r="837" spans="1:12" ht="14.4" x14ac:dyDescent="0.3">
      <c r="A837" s="3"/>
      <c r="B837" s="8" t="s">
        <v>27</v>
      </c>
      <c r="C837" s="70"/>
      <c r="D837" s="69" t="s">
        <v>45</v>
      </c>
      <c r="E837" s="69" t="s">
        <v>45</v>
      </c>
      <c r="F837" s="69" t="s">
        <v>45</v>
      </c>
      <c r="G837" s="69" t="s">
        <v>45</v>
      </c>
      <c r="H837" s="6" t="s">
        <v>45</v>
      </c>
      <c r="I837" s="3"/>
    </row>
    <row r="838" spans="1:12" ht="14.4" x14ac:dyDescent="0.3">
      <c r="A838" s="3"/>
      <c r="B838" s="9" t="s">
        <v>28</v>
      </c>
      <c r="C838" s="5"/>
      <c r="D838" s="6"/>
      <c r="E838" s="6"/>
      <c r="F838" s="71"/>
      <c r="G838" s="71"/>
      <c r="H838" s="72"/>
      <c r="I838" s="3"/>
    </row>
    <row r="839" spans="1:12" ht="14.4" x14ac:dyDescent="0.3">
      <c r="A839" s="3"/>
      <c r="B839" s="9" t="s">
        <v>29</v>
      </c>
      <c r="C839" s="5"/>
      <c r="D839" s="6"/>
      <c r="E839" s="6"/>
      <c r="F839" s="71"/>
      <c r="G839" s="69" t="s">
        <v>45</v>
      </c>
      <c r="H839" s="6" t="s">
        <v>45</v>
      </c>
      <c r="I839" s="3"/>
    </row>
    <row r="840" spans="1:12" ht="14.4" x14ac:dyDescent="0.3">
      <c r="A840" s="3"/>
      <c r="B840" s="9" t="s">
        <v>30</v>
      </c>
      <c r="C840" s="5"/>
      <c r="D840" s="6"/>
      <c r="E840" s="6"/>
      <c r="F840" s="69" t="s">
        <v>45</v>
      </c>
      <c r="G840" s="69" t="s">
        <v>45</v>
      </c>
      <c r="H840" s="6" t="s">
        <v>45</v>
      </c>
      <c r="I840" s="3"/>
    </row>
    <row r="841" spans="1:12" ht="14.4" x14ac:dyDescent="0.3">
      <c r="A841" s="3"/>
      <c r="B841" s="10"/>
      <c r="C841" s="73"/>
      <c r="D841" s="75"/>
      <c r="E841" s="75"/>
      <c r="F841" s="75"/>
      <c r="H841" s="35"/>
      <c r="I841" s="3"/>
    </row>
    <row r="842" spans="1:12" ht="14.4" x14ac:dyDescent="0.3">
      <c r="A842" s="3"/>
      <c r="B842" s="10"/>
      <c r="C842" s="73"/>
      <c r="D842" s="75"/>
      <c r="E842" s="75"/>
      <c r="G842" s="75"/>
      <c r="H842" s="35"/>
      <c r="I842" s="3"/>
    </row>
    <row r="843" spans="1:12" ht="18" x14ac:dyDescent="0.35">
      <c r="A843" s="3"/>
      <c r="C843" s="73"/>
      <c r="D843" s="182" t="s">
        <v>33</v>
      </c>
      <c r="E843" s="182"/>
      <c r="F843" s="182"/>
      <c r="G843" s="182"/>
      <c r="H843" s="182"/>
      <c r="I843" s="3"/>
    </row>
    <row r="844" spans="1:12" ht="15.6" x14ac:dyDescent="0.3">
      <c r="A844" s="28"/>
      <c r="B844" s="24" t="s">
        <v>45</v>
      </c>
      <c r="C844" s="74" t="s">
        <v>45</v>
      </c>
      <c r="D844" s="183" t="s">
        <v>54</v>
      </c>
      <c r="E844" s="183"/>
      <c r="F844" s="183"/>
      <c r="G844" s="183"/>
      <c r="H844" s="183"/>
      <c r="I844" s="28"/>
    </row>
    <row r="845" spans="1:12" ht="15.9" customHeight="1" x14ac:dyDescent="0.3">
      <c r="A845" s="3"/>
      <c r="B845" s="132" t="s">
        <v>88</v>
      </c>
      <c r="C845" s="132"/>
      <c r="D845" s="132"/>
      <c r="E845" s="132"/>
      <c r="F845" s="132"/>
      <c r="G845" s="132"/>
      <c r="H845" s="132"/>
      <c r="I845" s="3"/>
    </row>
    <row r="846" spans="1:12" ht="14.4" x14ac:dyDescent="0.3">
      <c r="A846" s="3"/>
      <c r="B846" s="14"/>
      <c r="C846" s="15"/>
      <c r="D846" s="152" t="s">
        <v>6</v>
      </c>
      <c r="E846" s="153"/>
      <c r="F846" s="153"/>
      <c r="G846" s="179"/>
      <c r="H846" s="180" t="s">
        <v>45</v>
      </c>
      <c r="I846" s="3"/>
    </row>
    <row r="847" spans="1:12" ht="14.4" x14ac:dyDescent="0.3">
      <c r="A847" s="3"/>
      <c r="B847" s="12"/>
      <c r="C847" s="13"/>
      <c r="D847" s="155" t="s">
        <v>9</v>
      </c>
      <c r="E847" s="156"/>
      <c r="F847" s="156"/>
      <c r="G847" s="181"/>
      <c r="H847" s="180"/>
      <c r="I847" s="3"/>
    </row>
    <row r="848" spans="1:12" ht="14.4" x14ac:dyDescent="0.3">
      <c r="A848" s="3"/>
      <c r="B848" s="111" t="s">
        <v>10</v>
      </c>
      <c r="C848" s="113" t="s">
        <v>11</v>
      </c>
      <c r="D848" s="44" t="s">
        <v>12</v>
      </c>
      <c r="E848" s="44" t="s">
        <v>13</v>
      </c>
      <c r="F848" s="44" t="s">
        <v>14</v>
      </c>
      <c r="G848" s="57" t="s">
        <v>15</v>
      </c>
      <c r="H848" s="175" t="s">
        <v>45</v>
      </c>
      <c r="I848" s="3"/>
    </row>
    <row r="849" spans="1:11" ht="14.4" x14ac:dyDescent="0.3">
      <c r="A849" s="3"/>
      <c r="B849" s="112"/>
      <c r="C849" s="114"/>
      <c r="D849" s="165" t="s">
        <v>20</v>
      </c>
      <c r="E849" s="166"/>
      <c r="F849" s="166"/>
      <c r="G849" s="176"/>
      <c r="H849" s="175"/>
      <c r="I849" s="3"/>
    </row>
    <row r="850" spans="1:11" ht="14.4" x14ac:dyDescent="0.3">
      <c r="A850" s="3"/>
      <c r="B850" s="33">
        <v>4</v>
      </c>
      <c r="C850" s="58" t="s">
        <v>21</v>
      </c>
      <c r="D850" s="23">
        <v>0</v>
      </c>
      <c r="E850" s="23">
        <v>0</v>
      </c>
      <c r="F850" s="23">
        <v>0</v>
      </c>
      <c r="G850" s="23">
        <v>0</v>
      </c>
      <c r="H850" s="62" t="s">
        <v>45</v>
      </c>
      <c r="I850" s="3"/>
    </row>
    <row r="851" spans="1:11" ht="14.4" x14ac:dyDescent="0.3">
      <c r="A851" s="3"/>
      <c r="B851" s="63">
        <v>5</v>
      </c>
      <c r="C851" s="64" t="s">
        <v>22</v>
      </c>
      <c r="D851" s="23">
        <v>0</v>
      </c>
      <c r="E851" s="23">
        <v>0</v>
      </c>
      <c r="F851" s="23">
        <v>0</v>
      </c>
      <c r="G851" s="23">
        <v>0</v>
      </c>
      <c r="H851" s="62" t="s">
        <v>45</v>
      </c>
      <c r="I851" s="3"/>
    </row>
    <row r="852" spans="1:11" ht="14.4" x14ac:dyDescent="0.3">
      <c r="A852" s="3"/>
      <c r="B852" s="63">
        <v>6</v>
      </c>
      <c r="C852" s="64" t="s">
        <v>23</v>
      </c>
      <c r="D852" s="23">
        <v>0</v>
      </c>
      <c r="E852" s="23">
        <v>0</v>
      </c>
      <c r="F852" s="23">
        <v>0</v>
      </c>
      <c r="G852" s="23">
        <v>0</v>
      </c>
      <c r="H852" s="62" t="s">
        <v>45</v>
      </c>
      <c r="I852" s="3"/>
    </row>
    <row r="853" spans="1:11" ht="14.4" x14ac:dyDescent="0.3">
      <c r="A853" s="3"/>
      <c r="B853" s="63">
        <v>7</v>
      </c>
      <c r="C853" s="64" t="s">
        <v>24</v>
      </c>
      <c r="D853" s="23">
        <v>0</v>
      </c>
      <c r="E853" s="23">
        <v>0</v>
      </c>
      <c r="F853" s="23">
        <v>0</v>
      </c>
      <c r="G853" s="23">
        <v>0</v>
      </c>
      <c r="H853" s="62" t="s">
        <v>45</v>
      </c>
      <c r="I853" s="3"/>
    </row>
    <row r="854" spans="1:11" ht="14.4" x14ac:dyDescent="0.3">
      <c r="A854" s="3"/>
      <c r="B854" s="33">
        <v>8</v>
      </c>
      <c r="C854" s="31" t="s">
        <v>25</v>
      </c>
      <c r="D854" s="23">
        <v>0</v>
      </c>
      <c r="E854" s="23">
        <v>0</v>
      </c>
      <c r="F854" s="40">
        <f t="shared" ref="F854:F874" si="85">+E854+D854</f>
        <v>0</v>
      </c>
      <c r="G854" s="65">
        <f t="shared" ref="G854:G874" si="86">+G853+F854</f>
        <v>0</v>
      </c>
      <c r="H854" s="62"/>
      <c r="I854" s="10"/>
      <c r="J854" s="3"/>
      <c r="K854" s="3"/>
    </row>
    <row r="855" spans="1:11" s="3" customFormat="1" ht="14.4" x14ac:dyDescent="0.3">
      <c r="B855" s="33">
        <v>9</v>
      </c>
      <c r="C855" s="31" t="s">
        <v>26</v>
      </c>
      <c r="D855" s="23">
        <v>0</v>
      </c>
      <c r="E855" s="23">
        <v>0</v>
      </c>
      <c r="F855" s="40">
        <f t="shared" si="85"/>
        <v>0</v>
      </c>
      <c r="G855" s="65">
        <f t="shared" si="86"/>
        <v>0</v>
      </c>
      <c r="H855" s="62"/>
      <c r="I855" s="35"/>
      <c r="J855" s="35"/>
    </row>
    <row r="856" spans="1:11" s="3" customFormat="1" ht="14.4" x14ac:dyDescent="0.3">
      <c r="B856" s="33">
        <v>10</v>
      </c>
      <c r="C856" s="31" t="s">
        <v>55</v>
      </c>
      <c r="D856" s="23">
        <v>0</v>
      </c>
      <c r="E856" s="23">
        <v>0</v>
      </c>
      <c r="F856" s="40">
        <f t="shared" si="85"/>
        <v>0</v>
      </c>
      <c r="G856" s="65">
        <f t="shared" si="86"/>
        <v>0</v>
      </c>
      <c r="H856" s="62"/>
      <c r="I856" s="35"/>
      <c r="J856" s="35"/>
    </row>
    <row r="857" spans="1:11" s="3" customFormat="1" ht="14.4" x14ac:dyDescent="0.3">
      <c r="B857" s="33">
        <v>11</v>
      </c>
      <c r="C857" s="31" t="s">
        <v>56</v>
      </c>
      <c r="D857" s="23">
        <v>0</v>
      </c>
      <c r="E857" s="23">
        <v>0</v>
      </c>
      <c r="F857" s="40">
        <f t="shared" si="85"/>
        <v>0</v>
      </c>
      <c r="G857" s="65">
        <f>+G856+F857</f>
        <v>0</v>
      </c>
      <c r="H857" s="62"/>
      <c r="I857" s="35"/>
      <c r="J857" s="35"/>
    </row>
    <row r="858" spans="1:11" s="3" customFormat="1" ht="14.4" x14ac:dyDescent="0.3">
      <c r="B858" s="33">
        <v>12</v>
      </c>
      <c r="C858" s="31" t="s">
        <v>71</v>
      </c>
      <c r="D858" s="23">
        <v>0</v>
      </c>
      <c r="E858" s="23">
        <v>0</v>
      </c>
      <c r="F858" s="40">
        <f t="shared" si="85"/>
        <v>0</v>
      </c>
      <c r="G858" s="65">
        <f t="shared" si="86"/>
        <v>0</v>
      </c>
      <c r="H858" s="62"/>
      <c r="I858" s="35"/>
      <c r="J858" s="35"/>
    </row>
    <row r="859" spans="1:11" s="3" customFormat="1" ht="14.4" x14ac:dyDescent="0.3">
      <c r="B859" s="33">
        <v>13</v>
      </c>
      <c r="C859" s="31" t="s">
        <v>57</v>
      </c>
      <c r="D859" s="23">
        <v>0</v>
      </c>
      <c r="E859" s="23">
        <v>0</v>
      </c>
      <c r="F859" s="40">
        <f t="shared" si="85"/>
        <v>0</v>
      </c>
      <c r="G859" s="65">
        <f t="shared" si="86"/>
        <v>0</v>
      </c>
      <c r="H859" s="62"/>
      <c r="I859" s="35"/>
      <c r="J859" s="35"/>
    </row>
    <row r="860" spans="1:11" s="3" customFormat="1" ht="16.8" customHeight="1" x14ac:dyDescent="0.3">
      <c r="B860" s="33">
        <v>14</v>
      </c>
      <c r="C860" s="49" t="s">
        <v>58</v>
      </c>
      <c r="D860" s="23">
        <v>0</v>
      </c>
      <c r="E860" s="23">
        <v>0</v>
      </c>
      <c r="F860" s="40">
        <f t="shared" si="85"/>
        <v>0</v>
      </c>
      <c r="G860" s="65">
        <f t="shared" si="86"/>
        <v>0</v>
      </c>
      <c r="H860" s="62"/>
      <c r="I860" s="35"/>
      <c r="J860" s="35"/>
    </row>
    <row r="861" spans="1:11" s="3" customFormat="1" ht="14.4" x14ac:dyDescent="0.3">
      <c r="B861" s="33">
        <v>15</v>
      </c>
      <c r="C861" s="31" t="s">
        <v>59</v>
      </c>
      <c r="D861" s="23">
        <v>0</v>
      </c>
      <c r="E861" s="23">
        <v>0</v>
      </c>
      <c r="F861" s="40">
        <f t="shared" si="85"/>
        <v>0</v>
      </c>
      <c r="G861" s="65">
        <f t="shared" si="86"/>
        <v>0</v>
      </c>
      <c r="H861" s="62"/>
      <c r="I861" s="35"/>
      <c r="J861" s="35"/>
    </row>
    <row r="862" spans="1:11" s="3" customFormat="1" ht="14.4" x14ac:dyDescent="0.3">
      <c r="B862" s="33">
        <v>16</v>
      </c>
      <c r="C862" s="31" t="s">
        <v>60</v>
      </c>
      <c r="D862" s="23">
        <v>0</v>
      </c>
      <c r="E862" s="23">
        <v>0</v>
      </c>
      <c r="F862" s="40">
        <f t="shared" si="85"/>
        <v>0</v>
      </c>
      <c r="G862" s="65">
        <f t="shared" si="86"/>
        <v>0</v>
      </c>
      <c r="H862" s="62"/>
      <c r="I862" s="35"/>
      <c r="J862" s="35"/>
    </row>
    <row r="863" spans="1:11" s="3" customFormat="1" ht="14.4" x14ac:dyDescent="0.3">
      <c r="B863" s="33">
        <v>17</v>
      </c>
      <c r="C863" s="31" t="s">
        <v>61</v>
      </c>
      <c r="D863" s="23">
        <v>0</v>
      </c>
      <c r="E863" s="23">
        <v>0</v>
      </c>
      <c r="F863" s="40">
        <f t="shared" si="85"/>
        <v>0</v>
      </c>
      <c r="G863" s="65">
        <f t="shared" si="86"/>
        <v>0</v>
      </c>
      <c r="H863" s="62"/>
      <c r="I863" s="35"/>
      <c r="J863" s="35"/>
    </row>
    <row r="864" spans="1:11" s="3" customFormat="1" ht="14.4" x14ac:dyDescent="0.3">
      <c r="B864" s="33">
        <v>18</v>
      </c>
      <c r="C864" s="31" t="s">
        <v>62</v>
      </c>
      <c r="D864" s="23">
        <v>0</v>
      </c>
      <c r="E864" s="23">
        <v>0</v>
      </c>
      <c r="F864" s="40">
        <f t="shared" si="85"/>
        <v>0</v>
      </c>
      <c r="G864" s="65">
        <f t="shared" si="86"/>
        <v>0</v>
      </c>
      <c r="H864" s="62"/>
      <c r="I864" s="35"/>
      <c r="J864" s="35"/>
    </row>
    <row r="865" spans="2:12" s="3" customFormat="1" ht="14.4" x14ac:dyDescent="0.3">
      <c r="B865" s="33">
        <v>19</v>
      </c>
      <c r="C865" s="31" t="s">
        <v>63</v>
      </c>
      <c r="D865" s="23">
        <v>0</v>
      </c>
      <c r="E865" s="23">
        <v>0</v>
      </c>
      <c r="F865" s="40">
        <f t="shared" si="85"/>
        <v>0</v>
      </c>
      <c r="G865" s="65">
        <f t="shared" si="86"/>
        <v>0</v>
      </c>
      <c r="H865" s="62"/>
      <c r="I865" s="35"/>
      <c r="J865" s="35"/>
    </row>
    <row r="866" spans="2:12" s="3" customFormat="1" ht="14.4" x14ac:dyDescent="0.3">
      <c r="B866" s="33">
        <v>20</v>
      </c>
      <c r="C866" s="31" t="s">
        <v>64</v>
      </c>
      <c r="D866" s="23">
        <v>0</v>
      </c>
      <c r="E866" s="23">
        <v>0</v>
      </c>
      <c r="F866" s="40">
        <f t="shared" si="85"/>
        <v>0</v>
      </c>
      <c r="G866" s="65">
        <f t="shared" si="86"/>
        <v>0</v>
      </c>
      <c r="H866" s="62"/>
      <c r="I866" s="35"/>
      <c r="J866" s="35"/>
    </row>
    <row r="867" spans="2:12" s="3" customFormat="1" ht="14.4" x14ac:dyDescent="0.3">
      <c r="B867" s="33">
        <v>21</v>
      </c>
      <c r="C867" s="31" t="s">
        <v>65</v>
      </c>
      <c r="D867" s="23">
        <v>0</v>
      </c>
      <c r="E867" s="23">
        <v>0</v>
      </c>
      <c r="F867" s="40">
        <f t="shared" si="85"/>
        <v>0</v>
      </c>
      <c r="G867" s="65">
        <f t="shared" si="86"/>
        <v>0</v>
      </c>
      <c r="H867" s="62"/>
      <c r="I867" s="35"/>
      <c r="J867" s="35"/>
    </row>
    <row r="868" spans="2:12" s="3" customFormat="1" ht="14.4" x14ac:dyDescent="0.3">
      <c r="B868" s="33">
        <v>22</v>
      </c>
      <c r="C868" s="31" t="s">
        <v>66</v>
      </c>
      <c r="D868" s="23">
        <v>0</v>
      </c>
      <c r="E868" s="23">
        <v>0</v>
      </c>
      <c r="F868" s="40">
        <f t="shared" si="85"/>
        <v>0</v>
      </c>
      <c r="G868" s="65">
        <f t="shared" si="86"/>
        <v>0</v>
      </c>
      <c r="H868" s="62"/>
      <c r="I868" s="35"/>
      <c r="J868" s="35"/>
    </row>
    <row r="869" spans="2:12" s="3" customFormat="1" ht="14.4" x14ac:dyDescent="0.3">
      <c r="B869" s="33">
        <v>23</v>
      </c>
      <c r="C869" s="31" t="s">
        <v>67</v>
      </c>
      <c r="D869" s="23">
        <v>0</v>
      </c>
      <c r="E869" s="23">
        <v>0</v>
      </c>
      <c r="F869" s="40">
        <f t="shared" si="85"/>
        <v>0</v>
      </c>
      <c r="G869" s="65">
        <f t="shared" si="86"/>
        <v>0</v>
      </c>
      <c r="H869" s="62"/>
      <c r="I869" s="35"/>
      <c r="J869" s="35"/>
    </row>
    <row r="870" spans="2:12" s="3" customFormat="1" ht="14.4" x14ac:dyDescent="0.3">
      <c r="B870" s="33">
        <v>24</v>
      </c>
      <c r="C870" s="31" t="s">
        <v>68</v>
      </c>
      <c r="D870" s="23">
        <v>0</v>
      </c>
      <c r="E870" s="23">
        <v>0</v>
      </c>
      <c r="F870" s="40">
        <f t="shared" si="85"/>
        <v>0</v>
      </c>
      <c r="G870" s="65">
        <f t="shared" si="86"/>
        <v>0</v>
      </c>
      <c r="H870" s="62"/>
      <c r="I870" s="35"/>
      <c r="J870" s="35"/>
    </row>
    <row r="871" spans="2:12" s="3" customFormat="1" ht="14.4" x14ac:dyDescent="0.3">
      <c r="B871" s="33">
        <v>25</v>
      </c>
      <c r="C871" s="67" t="s">
        <v>69</v>
      </c>
      <c r="D871" s="23">
        <v>0</v>
      </c>
      <c r="E871" s="23">
        <v>0</v>
      </c>
      <c r="F871" s="40">
        <f t="shared" si="85"/>
        <v>0</v>
      </c>
      <c r="G871" s="65">
        <f t="shared" si="86"/>
        <v>0</v>
      </c>
      <c r="H871" s="62"/>
      <c r="I871" s="35"/>
      <c r="J871" s="35"/>
    </row>
    <row r="872" spans="2:12" s="3" customFormat="1" ht="14.4" x14ac:dyDescent="0.3">
      <c r="B872" s="33">
        <v>26</v>
      </c>
      <c r="C872" s="67" t="s">
        <v>70</v>
      </c>
      <c r="D872" s="94">
        <v>0</v>
      </c>
      <c r="E872" s="95">
        <v>0</v>
      </c>
      <c r="F872" s="96">
        <f t="shared" si="85"/>
        <v>0</v>
      </c>
      <c r="G872" s="98">
        <f t="shared" si="86"/>
        <v>0</v>
      </c>
      <c r="H872" s="62"/>
      <c r="I872" s="35"/>
      <c r="J872" s="35"/>
    </row>
    <row r="873" spans="2:12" s="3" customFormat="1" ht="14.4" x14ac:dyDescent="0.3">
      <c r="B873" s="33">
        <v>27</v>
      </c>
      <c r="C873" s="31" t="s">
        <v>79</v>
      </c>
      <c r="D873" s="18">
        <v>0</v>
      </c>
      <c r="E873" s="18">
        <v>0</v>
      </c>
      <c r="F873" s="36">
        <f t="shared" si="85"/>
        <v>0</v>
      </c>
      <c r="G873" s="84">
        <f t="shared" si="86"/>
        <v>0</v>
      </c>
      <c r="H873" s="62"/>
      <c r="I873" s="35"/>
      <c r="J873" s="35"/>
    </row>
    <row r="874" spans="2:12" s="3" customFormat="1" ht="13.2" customHeight="1" x14ac:dyDescent="0.3">
      <c r="B874" s="33">
        <v>28</v>
      </c>
      <c r="C874" s="67" t="s">
        <v>80</v>
      </c>
      <c r="D874" s="23">
        <v>0</v>
      </c>
      <c r="E874" s="23">
        <v>0</v>
      </c>
      <c r="F874" s="40">
        <f t="shared" si="85"/>
        <v>0</v>
      </c>
      <c r="G874" s="65">
        <f t="shared" si="86"/>
        <v>0</v>
      </c>
      <c r="H874" s="62"/>
      <c r="I874" s="35"/>
      <c r="J874" s="35"/>
    </row>
    <row r="875" spans="2:12" s="3" customFormat="1" ht="13.2" customHeight="1" x14ac:dyDescent="0.3">
      <c r="B875" s="33">
        <v>29</v>
      </c>
      <c r="C875" s="67" t="s">
        <v>81</v>
      </c>
      <c r="D875" s="23">
        <v>0</v>
      </c>
      <c r="E875" s="23">
        <v>0</v>
      </c>
      <c r="F875" s="40">
        <f t="shared" ref="F875:F879" si="87">+E875+D875</f>
        <v>0</v>
      </c>
      <c r="G875" s="65">
        <f t="shared" ref="G875:G878" si="88">+G874+F875</f>
        <v>0</v>
      </c>
      <c r="H875" s="62"/>
      <c r="I875" s="35"/>
      <c r="J875" s="35"/>
    </row>
    <row r="876" spans="2:12" s="3" customFormat="1" ht="13.2" customHeight="1" x14ac:dyDescent="0.3">
      <c r="B876" s="33">
        <v>30</v>
      </c>
      <c r="C876" s="67" t="s">
        <v>82</v>
      </c>
      <c r="D876" s="23">
        <v>0</v>
      </c>
      <c r="E876" s="23">
        <v>0</v>
      </c>
      <c r="F876" s="40">
        <f t="shared" si="87"/>
        <v>0</v>
      </c>
      <c r="G876" s="65">
        <f t="shared" si="88"/>
        <v>0</v>
      </c>
      <c r="H876" s="62"/>
      <c r="I876" s="35"/>
      <c r="J876" s="35"/>
    </row>
    <row r="877" spans="2:12" s="3" customFormat="1" ht="13.2" customHeight="1" x14ac:dyDescent="0.3">
      <c r="B877" s="33">
        <v>31</v>
      </c>
      <c r="C877" s="67" t="s">
        <v>83</v>
      </c>
      <c r="D877" s="23">
        <v>0</v>
      </c>
      <c r="E877" s="23">
        <v>0</v>
      </c>
      <c r="F877" s="40">
        <f t="shared" si="87"/>
        <v>0</v>
      </c>
      <c r="G877" s="65">
        <f t="shared" si="88"/>
        <v>0</v>
      </c>
      <c r="H877" s="62"/>
      <c r="I877" s="35"/>
      <c r="J877" s="35"/>
    </row>
    <row r="878" spans="2:12" s="3" customFormat="1" ht="13.2" customHeight="1" x14ac:dyDescent="0.3">
      <c r="B878" s="33">
        <v>32</v>
      </c>
      <c r="C878" s="67" t="s">
        <v>84</v>
      </c>
      <c r="D878" s="23">
        <v>0</v>
      </c>
      <c r="E878" s="23">
        <v>0</v>
      </c>
      <c r="F878" s="40">
        <f t="shared" si="87"/>
        <v>0</v>
      </c>
      <c r="G878" s="65">
        <f t="shared" si="88"/>
        <v>0</v>
      </c>
      <c r="H878" s="62"/>
      <c r="I878" s="35"/>
      <c r="J878" s="35"/>
    </row>
    <row r="879" spans="2:12" s="3" customFormat="1" ht="14.4" x14ac:dyDescent="0.3">
      <c r="B879" s="33">
        <v>33</v>
      </c>
      <c r="C879" s="67" t="s">
        <v>85</v>
      </c>
      <c r="D879" s="23">
        <v>0</v>
      </c>
      <c r="E879" s="23">
        <v>0</v>
      </c>
      <c r="F879" s="40">
        <f t="shared" si="87"/>
        <v>0</v>
      </c>
      <c r="G879" s="65">
        <f>+G878+F879</f>
        <v>0</v>
      </c>
      <c r="H879" s="62"/>
      <c r="I879" s="35"/>
      <c r="J879" s="35"/>
    </row>
    <row r="880" spans="2:12" s="3" customFormat="1" ht="14.4" x14ac:dyDescent="0.3">
      <c r="B880" s="33">
        <v>34</v>
      </c>
      <c r="C880" s="67" t="s">
        <v>87</v>
      </c>
      <c r="D880" s="23">
        <v>0</v>
      </c>
      <c r="E880" s="23">
        <v>0</v>
      </c>
      <c r="F880" s="40">
        <v>0</v>
      </c>
      <c r="G880" s="23">
        <f>+G879+F880</f>
        <v>0</v>
      </c>
      <c r="H880" s="62"/>
      <c r="I880" s="35"/>
      <c r="J880" s="10"/>
      <c r="K880" s="1"/>
      <c r="L880" s="32"/>
    </row>
    <row r="881" spans="1:12" s="3" customFormat="1" ht="14.4" x14ac:dyDescent="0.3">
      <c r="B881" s="33">
        <v>35</v>
      </c>
      <c r="C881" s="67" t="s">
        <v>86</v>
      </c>
      <c r="D881" s="23">
        <v>0</v>
      </c>
      <c r="E881" s="23">
        <v>0</v>
      </c>
      <c r="F881" s="40">
        <f>+E881+D881</f>
        <v>0</v>
      </c>
      <c r="G881" s="40">
        <f>+G880+F881</f>
        <v>0</v>
      </c>
      <c r="H881" s="62"/>
      <c r="I881" s="35"/>
      <c r="J881" s="10"/>
      <c r="K881" s="1"/>
      <c r="L881" s="32"/>
    </row>
    <row r="882" spans="1:12" ht="13.5" customHeight="1" x14ac:dyDescent="0.3">
      <c r="A882" s="3"/>
      <c r="B882" s="5" t="s">
        <v>45</v>
      </c>
      <c r="C882" s="68" t="s">
        <v>45</v>
      </c>
      <c r="D882" s="69" t="s">
        <v>45</v>
      </c>
      <c r="E882" s="69"/>
      <c r="F882" s="69" t="s">
        <v>45</v>
      </c>
      <c r="G882" s="69" t="s">
        <v>45</v>
      </c>
      <c r="H882" s="6" t="s">
        <v>45</v>
      </c>
      <c r="I882" s="3"/>
    </row>
    <row r="883" spans="1:12" ht="14.4" x14ac:dyDescent="0.3">
      <c r="A883" s="3"/>
      <c r="B883" s="8" t="s">
        <v>27</v>
      </c>
      <c r="C883" s="70"/>
      <c r="D883" s="69" t="s">
        <v>45</v>
      </c>
      <c r="E883" s="69" t="s">
        <v>45</v>
      </c>
      <c r="F883" s="69" t="s">
        <v>45</v>
      </c>
      <c r="G883" s="69" t="s">
        <v>45</v>
      </c>
      <c r="H883" s="6" t="s">
        <v>45</v>
      </c>
      <c r="I883" s="3"/>
    </row>
    <row r="884" spans="1:12" ht="14.4" x14ac:dyDescent="0.3">
      <c r="A884" s="3"/>
      <c r="B884" s="9" t="s">
        <v>28</v>
      </c>
      <c r="C884" s="5"/>
      <c r="D884" s="6"/>
      <c r="E884" s="6"/>
      <c r="F884" s="71"/>
      <c r="G884" s="71"/>
      <c r="H884" s="72"/>
      <c r="I884" s="3"/>
    </row>
    <row r="885" spans="1:12" ht="14.4" x14ac:dyDescent="0.3">
      <c r="A885" s="3"/>
      <c r="B885" s="9" t="s">
        <v>29</v>
      </c>
      <c r="C885" s="5"/>
      <c r="D885" s="6"/>
      <c r="E885" s="6"/>
      <c r="F885" s="71"/>
      <c r="G885" s="69" t="s">
        <v>45</v>
      </c>
      <c r="H885" s="6" t="s">
        <v>45</v>
      </c>
      <c r="I885" s="3"/>
    </row>
    <row r="886" spans="1:12" ht="14.4" x14ac:dyDescent="0.3">
      <c r="A886" s="3"/>
      <c r="B886" s="9" t="s">
        <v>30</v>
      </c>
      <c r="C886" s="5"/>
      <c r="D886" s="6"/>
      <c r="E886" s="6"/>
      <c r="F886" s="69" t="s">
        <v>45</v>
      </c>
      <c r="G886" s="69" t="s">
        <v>45</v>
      </c>
      <c r="H886" s="6" t="s">
        <v>45</v>
      </c>
      <c r="I886" s="3"/>
    </row>
    <row r="887" spans="1:12" ht="14.4" x14ac:dyDescent="0.3">
      <c r="A887" s="3"/>
      <c r="B887" s="3"/>
      <c r="C887" s="54"/>
      <c r="D887" s="55"/>
      <c r="E887" s="55"/>
      <c r="F887" s="55"/>
      <c r="G887" s="55"/>
      <c r="H887" s="32"/>
      <c r="I887" s="3"/>
    </row>
    <row r="888" spans="1:12" ht="14.4" x14ac:dyDescent="0.3">
      <c r="A888" s="3"/>
      <c r="B888" s="3"/>
      <c r="C888" s="54"/>
      <c r="D888" s="55"/>
      <c r="E888" s="55"/>
      <c r="F888" s="55"/>
      <c r="G888" s="55"/>
      <c r="H888" s="32"/>
      <c r="I888" s="3"/>
    </row>
    <row r="889" spans="1:12" ht="18" x14ac:dyDescent="0.35">
      <c r="A889" s="3"/>
      <c r="C889" s="73"/>
      <c r="D889" s="177" t="s">
        <v>34</v>
      </c>
      <c r="E889" s="177"/>
      <c r="F889" s="177"/>
      <c r="G889" s="177"/>
      <c r="H889" s="177"/>
      <c r="I889" s="3"/>
    </row>
    <row r="890" spans="1:12" ht="15.6" x14ac:dyDescent="0.3">
      <c r="A890" s="28"/>
      <c r="B890" s="24" t="s">
        <v>45</v>
      </c>
      <c r="C890" s="74" t="s">
        <v>45</v>
      </c>
      <c r="D890" s="178" t="s">
        <v>54</v>
      </c>
      <c r="E890" s="178"/>
      <c r="F890" s="178"/>
      <c r="G890" s="178"/>
      <c r="H890" s="178"/>
      <c r="I890" s="28"/>
    </row>
    <row r="891" spans="1:12" ht="15.9" customHeight="1" x14ac:dyDescent="0.3">
      <c r="A891" s="3"/>
      <c r="B891" s="132" t="s">
        <v>89</v>
      </c>
      <c r="C891" s="132"/>
      <c r="D891" s="132"/>
      <c r="E891" s="132"/>
      <c r="F891" s="132"/>
      <c r="G891" s="132"/>
      <c r="H891" s="132"/>
      <c r="I891" s="3"/>
    </row>
    <row r="892" spans="1:12" ht="14.4" x14ac:dyDescent="0.3">
      <c r="A892" s="3"/>
      <c r="B892" s="14"/>
      <c r="C892" s="15"/>
      <c r="D892" s="152" t="s">
        <v>6</v>
      </c>
      <c r="E892" s="153"/>
      <c r="F892" s="153"/>
      <c r="G892" s="179"/>
      <c r="H892" s="180"/>
      <c r="I892" s="3"/>
    </row>
    <row r="893" spans="1:12" ht="14.4" x14ac:dyDescent="0.3">
      <c r="A893" s="3"/>
      <c r="B893" s="12"/>
      <c r="C893" s="13"/>
      <c r="D893" s="155" t="s">
        <v>9</v>
      </c>
      <c r="E893" s="156"/>
      <c r="F893" s="156"/>
      <c r="G893" s="181"/>
      <c r="H893" s="180"/>
      <c r="I893" s="3"/>
    </row>
    <row r="894" spans="1:12" ht="14.4" x14ac:dyDescent="0.3">
      <c r="A894" s="3"/>
      <c r="B894" s="111" t="s">
        <v>10</v>
      </c>
      <c r="C894" s="113" t="s">
        <v>11</v>
      </c>
      <c r="D894" s="44" t="s">
        <v>12</v>
      </c>
      <c r="E894" s="44" t="s">
        <v>13</v>
      </c>
      <c r="F894" s="44" t="s">
        <v>14</v>
      </c>
      <c r="G894" s="57" t="s">
        <v>15</v>
      </c>
      <c r="H894" s="175" t="s">
        <v>45</v>
      </c>
      <c r="I894" s="3"/>
    </row>
    <row r="895" spans="1:12" ht="14.4" x14ac:dyDescent="0.3">
      <c r="A895" s="3"/>
      <c r="B895" s="112"/>
      <c r="C895" s="114"/>
      <c r="D895" s="165" t="s">
        <v>20</v>
      </c>
      <c r="E895" s="166"/>
      <c r="F895" s="166"/>
      <c r="G895" s="176"/>
      <c r="H895" s="175"/>
      <c r="I895" s="3"/>
    </row>
    <row r="896" spans="1:12" ht="14.4" x14ac:dyDescent="0.3">
      <c r="A896" s="3"/>
      <c r="B896" s="33">
        <v>4</v>
      </c>
      <c r="C896" s="58" t="s">
        <v>21</v>
      </c>
      <c r="D896" s="23">
        <v>0</v>
      </c>
      <c r="E896" s="23">
        <v>0</v>
      </c>
      <c r="F896" s="23">
        <v>0</v>
      </c>
      <c r="G896" s="23">
        <v>0</v>
      </c>
      <c r="H896" s="62" t="s">
        <v>45</v>
      </c>
      <c r="I896" s="3"/>
    </row>
    <row r="897" spans="1:11" ht="14.4" x14ac:dyDescent="0.3">
      <c r="A897" s="3"/>
      <c r="B897" s="63">
        <v>5</v>
      </c>
      <c r="C897" s="64" t="s">
        <v>22</v>
      </c>
      <c r="D897" s="59">
        <v>22804.03</v>
      </c>
      <c r="E897" s="23">
        <v>0</v>
      </c>
      <c r="F897" s="60">
        <f>+E897+D897</f>
        <v>22804.03</v>
      </c>
      <c r="G897" s="61">
        <f>+F897</f>
        <v>22804.03</v>
      </c>
      <c r="H897" s="62" t="s">
        <v>45</v>
      </c>
      <c r="I897" s="3"/>
    </row>
    <row r="898" spans="1:11" ht="14.4" x14ac:dyDescent="0.3">
      <c r="A898" s="3"/>
      <c r="B898" s="63">
        <v>6</v>
      </c>
      <c r="C898" s="64" t="s">
        <v>23</v>
      </c>
      <c r="D898" s="59">
        <v>14028.02</v>
      </c>
      <c r="E898" s="23">
        <v>0</v>
      </c>
      <c r="F898" s="60">
        <f>+E898+D898</f>
        <v>14028.02</v>
      </c>
      <c r="G898" s="61">
        <f>+G897+F898</f>
        <v>36832.050000000003</v>
      </c>
      <c r="H898" s="62" t="s">
        <v>45</v>
      </c>
      <c r="I898" s="3"/>
    </row>
    <row r="899" spans="1:11" ht="14.4" x14ac:dyDescent="0.3">
      <c r="A899" s="3"/>
      <c r="B899" s="63">
        <v>7</v>
      </c>
      <c r="C899" s="64" t="s">
        <v>24</v>
      </c>
      <c r="D899" s="59">
        <v>29519.08</v>
      </c>
      <c r="E899" s="23">
        <v>0</v>
      </c>
      <c r="F899" s="60">
        <f>+E899+D899</f>
        <v>29519.08</v>
      </c>
      <c r="G899" s="61">
        <f>+G898+F899</f>
        <v>66351.13</v>
      </c>
      <c r="H899" s="62" t="s">
        <v>45</v>
      </c>
      <c r="I899" s="3"/>
    </row>
    <row r="900" spans="1:11" ht="14.4" x14ac:dyDescent="0.3">
      <c r="A900" s="3"/>
      <c r="B900" s="33">
        <v>8</v>
      </c>
      <c r="C900" s="31" t="s">
        <v>25</v>
      </c>
      <c r="D900" s="23">
        <v>24107</v>
      </c>
      <c r="E900" s="23">
        <v>0</v>
      </c>
      <c r="F900" s="60">
        <f>+E900+D900</f>
        <v>24107</v>
      </c>
      <c r="G900" s="65">
        <f>+G899+F900</f>
        <v>90458.13</v>
      </c>
      <c r="H900" s="62"/>
      <c r="I900" s="10"/>
      <c r="J900" s="3"/>
      <c r="K900" s="3"/>
    </row>
    <row r="901" spans="1:11" s="3" customFormat="1" ht="14.4" x14ac:dyDescent="0.3">
      <c r="B901" s="33">
        <v>9</v>
      </c>
      <c r="C901" s="31" t="s">
        <v>26</v>
      </c>
      <c r="D901" s="23">
        <v>2162.5100000000002</v>
      </c>
      <c r="E901" s="23">
        <v>0</v>
      </c>
      <c r="F901" s="40">
        <f t="shared" ref="F901:F920" si="89">+E901+D901</f>
        <v>2162.5100000000002</v>
      </c>
      <c r="G901" s="65">
        <f t="shared" ref="G901:G920" si="90">+G900+F901</f>
        <v>92620.64</v>
      </c>
      <c r="H901" s="62"/>
      <c r="I901" s="35"/>
      <c r="J901" s="35"/>
    </row>
    <row r="902" spans="1:11" s="3" customFormat="1" ht="14.4" x14ac:dyDescent="0.3">
      <c r="B902" s="33">
        <v>10</v>
      </c>
      <c r="C902" s="31" t="s">
        <v>55</v>
      </c>
      <c r="D902" s="23">
        <v>0</v>
      </c>
      <c r="E902" s="23">
        <v>0</v>
      </c>
      <c r="F902" s="40">
        <f t="shared" si="89"/>
        <v>0</v>
      </c>
      <c r="G902" s="65">
        <f t="shared" si="90"/>
        <v>92620.64</v>
      </c>
      <c r="H902" s="62"/>
      <c r="I902" s="35"/>
      <c r="J902" s="35"/>
    </row>
    <row r="903" spans="1:11" s="3" customFormat="1" ht="14.4" x14ac:dyDescent="0.3">
      <c r="B903" s="33">
        <v>11</v>
      </c>
      <c r="C903" s="31" t="s">
        <v>56</v>
      </c>
      <c r="D903" s="23">
        <v>9488.02</v>
      </c>
      <c r="E903" s="23">
        <v>0</v>
      </c>
      <c r="F903" s="40">
        <f t="shared" si="89"/>
        <v>9488.02</v>
      </c>
      <c r="G903" s="65">
        <f t="shared" si="90"/>
        <v>102108.66</v>
      </c>
      <c r="H903" s="62"/>
      <c r="I903" s="35"/>
      <c r="J903" s="35"/>
    </row>
    <row r="904" spans="1:11" s="3" customFormat="1" ht="14.4" x14ac:dyDescent="0.3">
      <c r="B904" s="33">
        <v>12</v>
      </c>
      <c r="C904" s="31" t="s">
        <v>71</v>
      </c>
      <c r="D904" s="23">
        <v>3777.51</v>
      </c>
      <c r="E904" s="23">
        <v>0</v>
      </c>
      <c r="F904" s="40">
        <f t="shared" si="89"/>
        <v>3777.51</v>
      </c>
      <c r="G904" s="65">
        <f t="shared" si="90"/>
        <v>105886.17</v>
      </c>
      <c r="H904" s="62"/>
      <c r="I904" s="35"/>
      <c r="J904" s="35"/>
    </row>
    <row r="905" spans="1:11" s="3" customFormat="1" ht="14.4" x14ac:dyDescent="0.3">
      <c r="B905" s="33">
        <v>13</v>
      </c>
      <c r="C905" s="31" t="s">
        <v>57</v>
      </c>
      <c r="D905" s="23">
        <v>0</v>
      </c>
      <c r="E905" s="23">
        <v>0</v>
      </c>
      <c r="F905" s="40">
        <f t="shared" si="89"/>
        <v>0</v>
      </c>
      <c r="G905" s="65">
        <f t="shared" si="90"/>
        <v>105886.17</v>
      </c>
      <c r="H905" s="62"/>
      <c r="I905" s="35"/>
      <c r="J905" s="35"/>
    </row>
    <row r="906" spans="1:11" s="3" customFormat="1" ht="15" customHeight="1" x14ac:dyDescent="0.3">
      <c r="B906" s="33">
        <v>14</v>
      </c>
      <c r="C906" s="49" t="s">
        <v>58</v>
      </c>
      <c r="D906" s="23">
        <v>0</v>
      </c>
      <c r="E906" s="23">
        <v>0</v>
      </c>
      <c r="F906" s="40">
        <f t="shared" si="89"/>
        <v>0</v>
      </c>
      <c r="G906" s="65">
        <f t="shared" si="90"/>
        <v>105886.17</v>
      </c>
      <c r="H906" s="62"/>
      <c r="I906" s="35"/>
      <c r="J906" s="35"/>
    </row>
    <row r="907" spans="1:11" s="3" customFormat="1" ht="14.4" x14ac:dyDescent="0.3">
      <c r="B907" s="33">
        <v>15</v>
      </c>
      <c r="C907" s="31" t="s">
        <v>59</v>
      </c>
      <c r="D907" s="23">
        <v>0</v>
      </c>
      <c r="E907" s="23">
        <v>0</v>
      </c>
      <c r="F907" s="40">
        <f t="shared" si="89"/>
        <v>0</v>
      </c>
      <c r="G907" s="65">
        <f t="shared" si="90"/>
        <v>105886.17</v>
      </c>
      <c r="H907" s="62"/>
      <c r="I907" s="35"/>
      <c r="J907" s="35"/>
    </row>
    <row r="908" spans="1:11" s="3" customFormat="1" ht="14.4" x14ac:dyDescent="0.3">
      <c r="B908" s="33">
        <v>16</v>
      </c>
      <c r="C908" s="31" t="s">
        <v>60</v>
      </c>
      <c r="D908" s="23">
        <v>0</v>
      </c>
      <c r="E908" s="23">
        <v>0</v>
      </c>
      <c r="F908" s="40">
        <f t="shared" si="89"/>
        <v>0</v>
      </c>
      <c r="G908" s="65">
        <f t="shared" si="90"/>
        <v>105886.17</v>
      </c>
      <c r="H908" s="62"/>
      <c r="I908" s="35"/>
      <c r="J908" s="35"/>
    </row>
    <row r="909" spans="1:11" s="3" customFormat="1" ht="14.4" x14ac:dyDescent="0.3">
      <c r="B909" s="33">
        <v>17</v>
      </c>
      <c r="C909" s="31" t="s">
        <v>61</v>
      </c>
      <c r="D909" s="23">
        <v>0</v>
      </c>
      <c r="E909" s="23">
        <v>0</v>
      </c>
      <c r="F909" s="40">
        <f t="shared" si="89"/>
        <v>0</v>
      </c>
      <c r="G909" s="65">
        <f t="shared" si="90"/>
        <v>105886.17</v>
      </c>
      <c r="H909" s="62"/>
      <c r="I909" s="35"/>
      <c r="J909" s="35"/>
    </row>
    <row r="910" spans="1:11" s="3" customFormat="1" ht="14.4" x14ac:dyDescent="0.3">
      <c r="B910" s="33">
        <v>18</v>
      </c>
      <c r="C910" s="31" t="s">
        <v>62</v>
      </c>
      <c r="D910" s="23">
        <v>0</v>
      </c>
      <c r="E910" s="23">
        <v>0</v>
      </c>
      <c r="F910" s="40">
        <f t="shared" si="89"/>
        <v>0</v>
      </c>
      <c r="G910" s="65">
        <f t="shared" si="90"/>
        <v>105886.17</v>
      </c>
      <c r="H910" s="62"/>
      <c r="I910" s="35"/>
      <c r="J910" s="35"/>
    </row>
    <row r="911" spans="1:11" s="3" customFormat="1" ht="14.4" x14ac:dyDescent="0.3">
      <c r="B911" s="33">
        <v>19</v>
      </c>
      <c r="C911" s="31" t="s">
        <v>63</v>
      </c>
      <c r="D911" s="23">
        <v>0</v>
      </c>
      <c r="E911" s="23">
        <v>0</v>
      </c>
      <c r="F911" s="40">
        <f t="shared" si="89"/>
        <v>0</v>
      </c>
      <c r="G911" s="65">
        <f t="shared" si="90"/>
        <v>105886.17</v>
      </c>
      <c r="H911" s="62"/>
      <c r="I911" s="35"/>
      <c r="J911" s="35"/>
    </row>
    <row r="912" spans="1:11" s="3" customFormat="1" ht="14.4" x14ac:dyDescent="0.3">
      <c r="B912" s="33">
        <v>20</v>
      </c>
      <c r="C912" s="31" t="s">
        <v>64</v>
      </c>
      <c r="D912" s="23">
        <v>0</v>
      </c>
      <c r="E912" s="23">
        <v>0</v>
      </c>
      <c r="F912" s="40">
        <f t="shared" si="89"/>
        <v>0</v>
      </c>
      <c r="G912" s="65">
        <f t="shared" si="90"/>
        <v>105886.17</v>
      </c>
      <c r="H912" s="62"/>
      <c r="I912" s="35"/>
      <c r="J912" s="35"/>
    </row>
    <row r="913" spans="2:12" s="3" customFormat="1" ht="14.4" x14ac:dyDescent="0.3">
      <c r="B913" s="33">
        <v>21</v>
      </c>
      <c r="C913" s="31" t="s">
        <v>65</v>
      </c>
      <c r="D913" s="23">
        <v>0</v>
      </c>
      <c r="E913" s="23">
        <v>0</v>
      </c>
      <c r="F913" s="40">
        <f t="shared" si="89"/>
        <v>0</v>
      </c>
      <c r="G913" s="65">
        <f t="shared" si="90"/>
        <v>105886.17</v>
      </c>
      <c r="H913" s="62"/>
      <c r="I913" s="35"/>
      <c r="J913" s="35"/>
    </row>
    <row r="914" spans="2:12" s="3" customFormat="1" ht="14.4" x14ac:dyDescent="0.3">
      <c r="B914" s="33">
        <v>22</v>
      </c>
      <c r="C914" s="31" t="s">
        <v>66</v>
      </c>
      <c r="D914" s="23">
        <v>0</v>
      </c>
      <c r="E914" s="23">
        <v>0</v>
      </c>
      <c r="F914" s="40">
        <f t="shared" si="89"/>
        <v>0</v>
      </c>
      <c r="G914" s="65">
        <f t="shared" si="90"/>
        <v>105886.17</v>
      </c>
      <c r="H914" s="62"/>
      <c r="I914" s="35"/>
      <c r="J914" s="35"/>
    </row>
    <row r="915" spans="2:12" s="3" customFormat="1" ht="14.4" x14ac:dyDescent="0.3">
      <c r="B915" s="33">
        <v>23</v>
      </c>
      <c r="C915" s="31" t="s">
        <v>67</v>
      </c>
      <c r="D915" s="23">
        <v>0</v>
      </c>
      <c r="E915" s="23">
        <v>0</v>
      </c>
      <c r="F915" s="40">
        <f t="shared" si="89"/>
        <v>0</v>
      </c>
      <c r="G915" s="65">
        <f t="shared" si="90"/>
        <v>105886.17</v>
      </c>
      <c r="H915" s="62"/>
      <c r="I915" s="35"/>
      <c r="J915" s="35"/>
    </row>
    <row r="916" spans="2:12" s="3" customFormat="1" ht="14.4" x14ac:dyDescent="0.3">
      <c r="B916" s="33">
        <v>24</v>
      </c>
      <c r="C916" s="31" t="s">
        <v>68</v>
      </c>
      <c r="D916" s="23">
        <v>0</v>
      </c>
      <c r="E916" s="23">
        <v>0</v>
      </c>
      <c r="F916" s="40">
        <f t="shared" si="89"/>
        <v>0</v>
      </c>
      <c r="G916" s="65">
        <f t="shared" si="90"/>
        <v>105886.17</v>
      </c>
      <c r="H916" s="62"/>
      <c r="I916" s="35"/>
      <c r="J916" s="35"/>
    </row>
    <row r="917" spans="2:12" s="3" customFormat="1" ht="14.4" x14ac:dyDescent="0.3">
      <c r="B917" s="33">
        <v>25</v>
      </c>
      <c r="C917" s="67" t="s">
        <v>69</v>
      </c>
      <c r="D917" s="23">
        <v>0</v>
      </c>
      <c r="E917" s="23">
        <v>0</v>
      </c>
      <c r="F917" s="40">
        <f t="shared" si="89"/>
        <v>0</v>
      </c>
      <c r="G917" s="65">
        <f t="shared" si="90"/>
        <v>105886.17</v>
      </c>
      <c r="H917" s="62"/>
      <c r="I917" s="35"/>
      <c r="J917" s="35"/>
    </row>
    <row r="918" spans="2:12" s="3" customFormat="1" ht="14.4" x14ac:dyDescent="0.3">
      <c r="B918" s="33">
        <v>26</v>
      </c>
      <c r="C918" s="67" t="s">
        <v>70</v>
      </c>
      <c r="D918" s="94">
        <v>0</v>
      </c>
      <c r="E918" s="95">
        <v>0</v>
      </c>
      <c r="F918" s="96">
        <f t="shared" si="89"/>
        <v>0</v>
      </c>
      <c r="G918" s="98">
        <f t="shared" si="90"/>
        <v>105886.17</v>
      </c>
      <c r="H918" s="62"/>
      <c r="I918" s="35"/>
      <c r="J918" s="35"/>
    </row>
    <row r="919" spans="2:12" s="3" customFormat="1" ht="14.4" x14ac:dyDescent="0.3">
      <c r="B919" s="33">
        <v>27</v>
      </c>
      <c r="C919" s="31" t="s">
        <v>79</v>
      </c>
      <c r="D919" s="18">
        <v>0</v>
      </c>
      <c r="E919" s="18">
        <v>0</v>
      </c>
      <c r="F919" s="36">
        <f t="shared" si="89"/>
        <v>0</v>
      </c>
      <c r="G919" s="84">
        <f t="shared" si="90"/>
        <v>105886.17</v>
      </c>
      <c r="H919" s="62"/>
      <c r="I919" s="35"/>
      <c r="J919" s="35"/>
    </row>
    <row r="920" spans="2:12" s="3" customFormat="1" ht="13.2" customHeight="1" x14ac:dyDescent="0.3">
      <c r="B920" s="33">
        <v>28</v>
      </c>
      <c r="C920" s="67" t="s">
        <v>80</v>
      </c>
      <c r="D920" s="23">
        <v>0</v>
      </c>
      <c r="E920" s="23">
        <v>0</v>
      </c>
      <c r="F920" s="40">
        <f t="shared" si="89"/>
        <v>0</v>
      </c>
      <c r="G920" s="65">
        <f t="shared" si="90"/>
        <v>105886.17</v>
      </c>
      <c r="H920" s="62"/>
      <c r="I920" s="35"/>
      <c r="J920" s="35"/>
    </row>
    <row r="921" spans="2:12" s="3" customFormat="1" ht="13.2" customHeight="1" x14ac:dyDescent="0.3">
      <c r="B921" s="33">
        <v>29</v>
      </c>
      <c r="C921" s="67" t="s">
        <v>81</v>
      </c>
      <c r="D921" s="23">
        <v>0</v>
      </c>
      <c r="E921" s="23">
        <v>0</v>
      </c>
      <c r="F921" s="40">
        <f t="shared" ref="F921:F925" si="91">+E921+D921</f>
        <v>0</v>
      </c>
      <c r="G921" s="65">
        <f t="shared" ref="G921:G924" si="92">+G920+F921</f>
        <v>105886.17</v>
      </c>
      <c r="H921" s="62"/>
      <c r="I921" s="35"/>
      <c r="J921" s="35"/>
    </row>
    <row r="922" spans="2:12" s="3" customFormat="1" ht="13.2" customHeight="1" x14ac:dyDescent="0.3">
      <c r="B922" s="33">
        <v>30</v>
      </c>
      <c r="C922" s="67" t="s">
        <v>82</v>
      </c>
      <c r="D922" s="23">
        <v>0</v>
      </c>
      <c r="E922" s="23">
        <v>0</v>
      </c>
      <c r="F922" s="40">
        <f t="shared" si="91"/>
        <v>0</v>
      </c>
      <c r="G922" s="65">
        <f t="shared" si="92"/>
        <v>105886.17</v>
      </c>
      <c r="H922" s="62"/>
      <c r="I922" s="35"/>
      <c r="J922" s="35"/>
    </row>
    <row r="923" spans="2:12" s="3" customFormat="1" ht="13.2" customHeight="1" x14ac:dyDescent="0.3">
      <c r="B923" s="33">
        <v>31</v>
      </c>
      <c r="C923" s="67" t="s">
        <v>83</v>
      </c>
      <c r="D923" s="23">
        <v>0</v>
      </c>
      <c r="E923" s="23">
        <v>0</v>
      </c>
      <c r="F923" s="40">
        <f t="shared" si="91"/>
        <v>0</v>
      </c>
      <c r="G923" s="65">
        <f t="shared" si="92"/>
        <v>105886.17</v>
      </c>
      <c r="H923" s="62"/>
      <c r="I923" s="35"/>
      <c r="J923" s="35"/>
    </row>
    <row r="924" spans="2:12" s="3" customFormat="1" ht="13.2" customHeight="1" x14ac:dyDescent="0.3">
      <c r="B924" s="33">
        <v>32</v>
      </c>
      <c r="C924" s="67" t="s">
        <v>84</v>
      </c>
      <c r="D924" s="23">
        <v>0</v>
      </c>
      <c r="E924" s="23">
        <v>0</v>
      </c>
      <c r="F924" s="40">
        <f t="shared" si="91"/>
        <v>0</v>
      </c>
      <c r="G924" s="65">
        <f t="shared" si="92"/>
        <v>105886.17</v>
      </c>
      <c r="H924" s="62"/>
      <c r="I924" s="35"/>
      <c r="J924" s="35"/>
    </row>
    <row r="925" spans="2:12" s="3" customFormat="1" ht="14.4" x14ac:dyDescent="0.3">
      <c r="B925" s="33">
        <v>33</v>
      </c>
      <c r="C925" s="67" t="s">
        <v>85</v>
      </c>
      <c r="D925" s="23">
        <v>0</v>
      </c>
      <c r="E925" s="23">
        <v>0</v>
      </c>
      <c r="F925" s="40">
        <f t="shared" si="91"/>
        <v>0</v>
      </c>
      <c r="G925" s="65">
        <f>+G924+F925</f>
        <v>105886.17</v>
      </c>
      <c r="H925" s="62"/>
      <c r="I925" s="35"/>
      <c r="J925" s="35"/>
    </row>
    <row r="926" spans="2:12" s="3" customFormat="1" ht="14.4" x14ac:dyDescent="0.3">
      <c r="B926" s="33">
        <v>34</v>
      </c>
      <c r="C926" s="67" t="s">
        <v>87</v>
      </c>
      <c r="D926" s="23">
        <v>0</v>
      </c>
      <c r="E926" s="23">
        <v>0</v>
      </c>
      <c r="F926" s="40">
        <v>0</v>
      </c>
      <c r="G926" s="23">
        <f>+G925+F926</f>
        <v>105886.17</v>
      </c>
      <c r="H926" s="62"/>
      <c r="I926" s="35"/>
      <c r="J926" s="10"/>
      <c r="K926" s="1"/>
      <c r="L926" s="32"/>
    </row>
    <row r="927" spans="2:12" s="3" customFormat="1" ht="14.4" x14ac:dyDescent="0.3">
      <c r="B927" s="33">
        <v>35</v>
      </c>
      <c r="C927" s="67" t="s">
        <v>86</v>
      </c>
      <c r="D927" s="23">
        <v>0</v>
      </c>
      <c r="E927" s="23">
        <v>0</v>
      </c>
      <c r="F927" s="40">
        <f>+E927+D927</f>
        <v>0</v>
      </c>
      <c r="G927" s="40">
        <f>+G926+F927</f>
        <v>105886.17</v>
      </c>
      <c r="H927" s="62"/>
      <c r="I927" s="35"/>
      <c r="J927" s="10"/>
      <c r="K927" s="1"/>
      <c r="L927" s="32"/>
    </row>
    <row r="928" spans="2:12" s="3" customFormat="1" ht="14.4" x14ac:dyDescent="0.3">
      <c r="B928" s="76"/>
      <c r="C928" s="77"/>
      <c r="D928" s="35"/>
      <c r="E928" s="35"/>
      <c r="F928" s="47"/>
      <c r="G928" s="35"/>
      <c r="H928" s="62"/>
      <c r="I928" s="35"/>
      <c r="J928" s="35"/>
    </row>
    <row r="929" spans="1:9" ht="14.4" x14ac:dyDescent="0.3">
      <c r="A929" s="3"/>
      <c r="B929" s="8" t="s">
        <v>27</v>
      </c>
      <c r="C929" s="70"/>
      <c r="D929" s="69" t="s">
        <v>45</v>
      </c>
      <c r="E929" s="69" t="s">
        <v>45</v>
      </c>
      <c r="F929" s="69" t="s">
        <v>45</v>
      </c>
      <c r="G929" s="69" t="s">
        <v>45</v>
      </c>
      <c r="H929" s="6" t="s">
        <v>45</v>
      </c>
      <c r="I929" s="3"/>
    </row>
    <row r="930" spans="1:9" ht="14.4" x14ac:dyDescent="0.3">
      <c r="A930" s="3"/>
      <c r="B930" s="9" t="s">
        <v>28</v>
      </c>
      <c r="C930" s="5"/>
      <c r="D930" s="6"/>
      <c r="E930" s="6"/>
      <c r="F930" s="71"/>
      <c r="G930" s="71"/>
      <c r="H930" s="72"/>
      <c r="I930" s="3"/>
    </row>
    <row r="931" spans="1:9" ht="14.4" x14ac:dyDescent="0.3">
      <c r="A931" s="3"/>
      <c r="B931" s="9" t="s">
        <v>29</v>
      </c>
      <c r="C931" s="5"/>
      <c r="D931" s="6"/>
      <c r="E931" s="6"/>
      <c r="F931" s="71"/>
      <c r="G931" s="69" t="s">
        <v>45</v>
      </c>
      <c r="H931" s="6" t="s">
        <v>45</v>
      </c>
      <c r="I931" s="3"/>
    </row>
    <row r="932" spans="1:9" ht="14.4" x14ac:dyDescent="0.3">
      <c r="A932" s="3"/>
      <c r="B932" s="9" t="s">
        <v>30</v>
      </c>
      <c r="C932" s="5"/>
      <c r="D932" s="6"/>
      <c r="E932" s="6"/>
      <c r="F932" s="69" t="s">
        <v>45</v>
      </c>
      <c r="G932" s="69" t="s">
        <v>45</v>
      </c>
      <c r="H932" s="6" t="s">
        <v>45</v>
      </c>
      <c r="I932" s="3"/>
    </row>
  </sheetData>
  <mergeCells count="195">
    <mergeCell ref="D51:H51"/>
    <mergeCell ref="D52:H52"/>
    <mergeCell ref="B53:H53"/>
    <mergeCell ref="D54:G54"/>
    <mergeCell ref="H54:H55"/>
    <mergeCell ref="D55:G55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99:H99"/>
    <mergeCell ref="D100:G100"/>
    <mergeCell ref="H100:H101"/>
    <mergeCell ref="D101:G101"/>
    <mergeCell ref="B102:B103"/>
    <mergeCell ref="C102:C103"/>
    <mergeCell ref="H102:H103"/>
    <mergeCell ref="D103:G103"/>
    <mergeCell ref="B56:B57"/>
    <mergeCell ref="C56:C57"/>
    <mergeCell ref="H56:H57"/>
    <mergeCell ref="D57:G57"/>
    <mergeCell ref="D97:H97"/>
    <mergeCell ref="D98:H98"/>
    <mergeCell ref="B148:B149"/>
    <mergeCell ref="C148:C149"/>
    <mergeCell ref="H148:H149"/>
    <mergeCell ref="D149:G149"/>
    <mergeCell ref="D192:H192"/>
    <mergeCell ref="B193:H193"/>
    <mergeCell ref="D143:H143"/>
    <mergeCell ref="D144:H144"/>
    <mergeCell ref="B145:H145"/>
    <mergeCell ref="D146:G146"/>
    <mergeCell ref="H146:H147"/>
    <mergeCell ref="D147:G147"/>
    <mergeCell ref="D237:H237"/>
    <mergeCell ref="D238:H238"/>
    <mergeCell ref="B239:H239"/>
    <mergeCell ref="D240:G240"/>
    <mergeCell ref="H240:H241"/>
    <mergeCell ref="D241:G241"/>
    <mergeCell ref="D194:G194"/>
    <mergeCell ref="H194:H195"/>
    <mergeCell ref="D195:G195"/>
    <mergeCell ref="B196:B197"/>
    <mergeCell ref="C196:C197"/>
    <mergeCell ref="H196:H197"/>
    <mergeCell ref="D197:G197"/>
    <mergeCell ref="B285:H285"/>
    <mergeCell ref="D286:G286"/>
    <mergeCell ref="H286:H287"/>
    <mergeCell ref="D287:G287"/>
    <mergeCell ref="B288:B289"/>
    <mergeCell ref="C288:C289"/>
    <mergeCell ref="H288:H289"/>
    <mergeCell ref="D289:G289"/>
    <mergeCell ref="B242:B243"/>
    <mergeCell ref="C242:C243"/>
    <mergeCell ref="H242:H243"/>
    <mergeCell ref="D243:G243"/>
    <mergeCell ref="D283:H283"/>
    <mergeCell ref="D284:H284"/>
    <mergeCell ref="B334:B335"/>
    <mergeCell ref="C334:C335"/>
    <mergeCell ref="H334:H335"/>
    <mergeCell ref="D335:G335"/>
    <mergeCell ref="D378:H378"/>
    <mergeCell ref="B379:H379"/>
    <mergeCell ref="D329:H329"/>
    <mergeCell ref="D330:H330"/>
    <mergeCell ref="B331:H331"/>
    <mergeCell ref="D332:G332"/>
    <mergeCell ref="H332:H333"/>
    <mergeCell ref="D333:G333"/>
    <mergeCell ref="D423:H423"/>
    <mergeCell ref="D424:H424"/>
    <mergeCell ref="B425:H425"/>
    <mergeCell ref="D426:G426"/>
    <mergeCell ref="H426:H427"/>
    <mergeCell ref="D427:G427"/>
    <mergeCell ref="D380:G380"/>
    <mergeCell ref="H380:H381"/>
    <mergeCell ref="D381:G381"/>
    <mergeCell ref="B382:B383"/>
    <mergeCell ref="C382:C383"/>
    <mergeCell ref="H382:H383"/>
    <mergeCell ref="D383:G383"/>
    <mergeCell ref="B471:H471"/>
    <mergeCell ref="D472:G472"/>
    <mergeCell ref="H472:H473"/>
    <mergeCell ref="D473:G473"/>
    <mergeCell ref="B474:B475"/>
    <mergeCell ref="C474:C475"/>
    <mergeCell ref="H474:H475"/>
    <mergeCell ref="D475:G475"/>
    <mergeCell ref="B428:B429"/>
    <mergeCell ref="C428:C429"/>
    <mergeCell ref="H428:H429"/>
    <mergeCell ref="D429:G429"/>
    <mergeCell ref="D469:H469"/>
    <mergeCell ref="D470:H470"/>
    <mergeCell ref="B520:B521"/>
    <mergeCell ref="C520:C521"/>
    <mergeCell ref="H520:H521"/>
    <mergeCell ref="D521:G521"/>
    <mergeCell ref="D565:H565"/>
    <mergeCell ref="B566:H566"/>
    <mergeCell ref="D515:H515"/>
    <mergeCell ref="D516:H516"/>
    <mergeCell ref="B517:H517"/>
    <mergeCell ref="D518:G518"/>
    <mergeCell ref="H518:H519"/>
    <mergeCell ref="D519:G519"/>
    <mergeCell ref="D610:H610"/>
    <mergeCell ref="D611:H611"/>
    <mergeCell ref="B612:H612"/>
    <mergeCell ref="D613:G613"/>
    <mergeCell ref="H613:H614"/>
    <mergeCell ref="D614:G614"/>
    <mergeCell ref="D567:G567"/>
    <mergeCell ref="H567:H568"/>
    <mergeCell ref="D568:G568"/>
    <mergeCell ref="B569:B570"/>
    <mergeCell ref="C569:C570"/>
    <mergeCell ref="H569:H570"/>
    <mergeCell ref="D570:G570"/>
    <mergeCell ref="B658:H658"/>
    <mergeCell ref="D659:G659"/>
    <mergeCell ref="H659:H660"/>
    <mergeCell ref="D660:G660"/>
    <mergeCell ref="B661:B662"/>
    <mergeCell ref="C661:C662"/>
    <mergeCell ref="H661:H662"/>
    <mergeCell ref="D662:G662"/>
    <mergeCell ref="B615:B616"/>
    <mergeCell ref="C615:C616"/>
    <mergeCell ref="H615:H616"/>
    <mergeCell ref="D616:G616"/>
    <mergeCell ref="D656:H656"/>
    <mergeCell ref="D657:H657"/>
    <mergeCell ref="B707:B708"/>
    <mergeCell ref="C707:C708"/>
    <mergeCell ref="H707:H708"/>
    <mergeCell ref="D708:G708"/>
    <mergeCell ref="D752:H752"/>
    <mergeCell ref="B753:H753"/>
    <mergeCell ref="D702:H702"/>
    <mergeCell ref="D703:H703"/>
    <mergeCell ref="B704:H704"/>
    <mergeCell ref="D705:G705"/>
    <mergeCell ref="H705:H706"/>
    <mergeCell ref="D706:G706"/>
    <mergeCell ref="D797:H797"/>
    <mergeCell ref="D798:H798"/>
    <mergeCell ref="B799:H799"/>
    <mergeCell ref="D800:G800"/>
    <mergeCell ref="H800:H801"/>
    <mergeCell ref="D801:G801"/>
    <mergeCell ref="D754:G754"/>
    <mergeCell ref="H754:H755"/>
    <mergeCell ref="D755:G755"/>
    <mergeCell ref="B756:B757"/>
    <mergeCell ref="C756:C757"/>
    <mergeCell ref="H756:H757"/>
    <mergeCell ref="D757:G757"/>
    <mergeCell ref="B845:H845"/>
    <mergeCell ref="D846:G846"/>
    <mergeCell ref="H846:H847"/>
    <mergeCell ref="D847:G847"/>
    <mergeCell ref="B848:B849"/>
    <mergeCell ref="C848:C849"/>
    <mergeCell ref="H848:H849"/>
    <mergeCell ref="D849:G849"/>
    <mergeCell ref="B802:B803"/>
    <mergeCell ref="C802:C803"/>
    <mergeCell ref="H802:H803"/>
    <mergeCell ref="D803:G803"/>
    <mergeCell ref="D843:H843"/>
    <mergeCell ref="D844:H844"/>
    <mergeCell ref="B894:B895"/>
    <mergeCell ref="C894:C895"/>
    <mergeCell ref="H894:H895"/>
    <mergeCell ref="D895:G895"/>
    <mergeCell ref="D889:H889"/>
    <mergeCell ref="D890:H890"/>
    <mergeCell ref="B891:H891"/>
    <mergeCell ref="D892:G892"/>
    <mergeCell ref="H892:H893"/>
    <mergeCell ref="D893:G893"/>
  </mergeCells>
  <phoneticPr fontId="1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Minessa La Grange</cp:lastModifiedBy>
  <cp:revision/>
  <dcterms:created xsi:type="dcterms:W3CDTF">2026-02-11T09:02:17Z</dcterms:created>
  <dcterms:modified xsi:type="dcterms:W3CDTF">2026-08-31T13:52:30Z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